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2.xml" ContentType="application/vnd.openxmlformats-officedocument.drawing+xml"/>
  <Override PartName="/xl/tables/table9.xml" ContentType="application/vnd.openxmlformats-officedocument.spreadsheetml.table+xml"/>
  <Override PartName="/xl/comments1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John 2\Budget\2021-2022 Budget\"/>
    </mc:Choice>
  </mc:AlternateContent>
  <xr:revisionPtr revIDLastSave="0" documentId="14_{881ADDFB-8925-4F50-A962-812DBBA4EAC2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General Fund" sheetId="1" r:id="rId1"/>
    <sheet name="Court Other Detailed" sheetId="10" r:id="rId2"/>
    <sheet name="Debt Service" sheetId="2" r:id="rId3"/>
    <sheet name="CIP Fund" sheetId="13" r:id="rId4"/>
    <sheet name="Tourism Fund" sheetId="3" r:id="rId5"/>
    <sheet name="Special Revenue and Grant Fund" sheetId="4" r:id="rId6"/>
    <sheet name="EDC Sale Tax Fund" sheetId="9" r:id="rId7"/>
    <sheet name="ARP" sheetId="14" r:id="rId8"/>
    <sheet name="Enterprise.Proprietary" sheetId="6" r:id="rId9"/>
  </sheets>
  <definedNames>
    <definedName name="_xlnm._FilterDatabase" localSheetId="0" hidden="1">'General Fund'!$A$5:$E$23</definedName>
    <definedName name="_xlnm.Print_Area" localSheetId="3">'CIP Fund'!$A$1:$E$24</definedName>
    <definedName name="_xlnm.Print_Area" localSheetId="8">Enterprise.Proprietary!$A$1:$F$129</definedName>
    <definedName name="_xlnm.Print_Area" localSheetId="0">'General Fund'!$A$1:$F$199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1" l="1" a="1"/>
  <c r="M18" i="1"/>
  <c r="I6" i="1"/>
  <c r="H6" i="1" a="1"/>
  <c r="H6" i="1" s="1"/>
  <c r="N26" i="1"/>
  <c r="N25" i="1"/>
  <c r="M25" i="1"/>
  <c r="B11" i="14"/>
  <c r="C9" i="14"/>
  <c r="C11" i="14" s="1"/>
  <c r="C14" i="14" s="1"/>
  <c r="E6" i="14"/>
  <c r="C6" i="14"/>
  <c r="B6" i="14"/>
  <c r="F4" i="14"/>
  <c r="D4" i="14"/>
  <c r="D6" i="14" s="1"/>
  <c r="E10" i="1"/>
  <c r="E47" i="6"/>
  <c r="I4" i="13"/>
  <c r="I3" i="13"/>
  <c r="E8" i="1"/>
  <c r="F18" i="13"/>
  <c r="E4" i="13"/>
  <c r="F4" i="13" s="1"/>
  <c r="F20" i="13"/>
  <c r="E17" i="13"/>
  <c r="F17" i="13" s="1"/>
  <c r="F16" i="13"/>
  <c r="D16" i="13"/>
  <c r="C15" i="13"/>
  <c r="D15" i="13" s="1"/>
  <c r="F15" i="13" s="1"/>
  <c r="D14" i="13"/>
  <c r="D22" i="13" s="1"/>
  <c r="D24" i="13" s="1"/>
  <c r="C14" i="13"/>
  <c r="C22" i="13" s="1"/>
  <c r="D10" i="13"/>
  <c r="C10" i="13"/>
  <c r="D6" i="13"/>
  <c r="E6" i="13" s="1"/>
  <c r="E5" i="13"/>
  <c r="F5" i="13" s="1"/>
  <c r="D4" i="13"/>
  <c r="C4" i="13"/>
  <c r="C33" i="13"/>
  <c r="B33" i="13"/>
  <c r="B14" i="14" l="1"/>
  <c r="F6" i="14"/>
  <c r="D9" i="14"/>
  <c r="D11" i="14" s="1"/>
  <c r="D14" i="14" s="1"/>
  <c r="E9" i="14"/>
  <c r="F6" i="13"/>
  <c r="E10" i="13"/>
  <c r="E11" i="14" l="1"/>
  <c r="F9" i="14"/>
  <c r="F10" i="13"/>
  <c r="E22" i="13"/>
  <c r="F22" i="13" s="1"/>
  <c r="F14" i="13"/>
  <c r="D36" i="13"/>
  <c r="C34" i="13"/>
  <c r="B34" i="13"/>
  <c r="F11" i="14" l="1"/>
  <c r="E14" i="14"/>
  <c r="E24" i="13"/>
  <c r="B36" i="13"/>
  <c r="C36" i="13"/>
  <c r="F101" i="1"/>
  <c r="D17" i="2"/>
  <c r="C10" i="6"/>
  <c r="E104" i="6"/>
  <c r="C104" i="6"/>
  <c r="E98" i="6"/>
  <c r="C96" i="6"/>
  <c r="C98" i="6" s="1"/>
  <c r="C79" i="6"/>
  <c r="C41" i="6"/>
  <c r="C78" i="6"/>
  <c r="C69" i="6"/>
  <c r="C60" i="6"/>
  <c r="D60" i="6" s="1"/>
  <c r="D62" i="6" s="1"/>
  <c r="C81" i="6"/>
  <c r="C44" i="6"/>
  <c r="C43" i="6"/>
  <c r="C17" i="2"/>
  <c r="E164" i="1"/>
  <c r="C164" i="1"/>
  <c r="D164" i="1" s="1"/>
  <c r="D165" i="1"/>
  <c r="D166" i="1"/>
  <c r="D167" i="1"/>
  <c r="D168" i="1"/>
  <c r="D169" i="1"/>
  <c r="D170" i="1"/>
  <c r="D171" i="1"/>
  <c r="D172" i="1"/>
  <c r="D174" i="1"/>
  <c r="D175" i="1"/>
  <c r="D163" i="1"/>
  <c r="D162" i="1"/>
  <c r="F103" i="1"/>
  <c r="D100" i="1"/>
  <c r="D101" i="1"/>
  <c r="D102" i="1"/>
  <c r="D104" i="1"/>
  <c r="D105" i="1"/>
  <c r="D106" i="1"/>
  <c r="D110" i="1"/>
  <c r="D99" i="1"/>
  <c r="E98" i="1"/>
  <c r="D96" i="6" l="1"/>
  <c r="D98" i="6" s="1"/>
  <c r="C62" i="6"/>
  <c r="F92" i="1"/>
  <c r="F85" i="1"/>
  <c r="F77" i="1"/>
  <c r="E71" i="1"/>
  <c r="C71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69" i="1"/>
  <c r="D67" i="1"/>
  <c r="E33" i="1"/>
  <c r="D36" i="1"/>
  <c r="D38" i="1"/>
  <c r="D39" i="1"/>
  <c r="D40" i="1"/>
  <c r="D41" i="1"/>
  <c r="D42" i="1"/>
  <c r="D45" i="1"/>
  <c r="D46" i="1"/>
  <c r="D47" i="1"/>
  <c r="D48" i="1"/>
  <c r="D49" i="1"/>
  <c r="D50" i="1"/>
  <c r="D51" i="1"/>
  <c r="F61" i="1"/>
  <c r="D54" i="1"/>
  <c r="D55" i="1"/>
  <c r="D56" i="1"/>
  <c r="D57" i="1"/>
  <c r="D58" i="1"/>
  <c r="D53" i="1"/>
  <c r="D52" i="1"/>
  <c r="D9" i="6"/>
  <c r="D10" i="6"/>
  <c r="D101" i="6"/>
  <c r="D104" i="6" s="1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5" i="6"/>
  <c r="D65" i="6"/>
  <c r="D23" i="6"/>
  <c r="D24" i="6"/>
  <c r="D26" i="6"/>
  <c r="D27" i="6"/>
  <c r="D28" i="6"/>
  <c r="D29" i="6"/>
  <c r="D30" i="6"/>
  <c r="D31" i="6"/>
  <c r="D32" i="6"/>
  <c r="D33" i="6"/>
  <c r="D34" i="6"/>
  <c r="D35" i="6"/>
  <c r="D36" i="6"/>
  <c r="D37" i="6"/>
  <c r="D39" i="6"/>
  <c r="D40" i="6"/>
  <c r="D41" i="6"/>
  <c r="D44" i="6"/>
  <c r="D47" i="6"/>
  <c r="D48" i="6"/>
  <c r="D49" i="6"/>
  <c r="D21" i="6"/>
  <c r="D11" i="9"/>
  <c r="C11" i="9"/>
  <c r="D9" i="9"/>
  <c r="C9" i="9"/>
  <c r="D6" i="9"/>
  <c r="C6" i="9"/>
  <c r="D4" i="9"/>
  <c r="H12" i="1"/>
  <c r="H10" i="1" s="1"/>
  <c r="E15" i="4" l="1"/>
  <c r="E19" i="4" s="1"/>
  <c r="D19" i="4"/>
  <c r="C15" i="4"/>
  <c r="E17" i="4"/>
  <c r="D15" i="4"/>
  <c r="D8" i="4"/>
  <c r="E8" i="4"/>
  <c r="D5" i="4"/>
  <c r="D4" i="4"/>
  <c r="D147" i="1"/>
  <c r="D148" i="1"/>
  <c r="D152" i="1"/>
  <c r="D153" i="1"/>
  <c r="D136" i="1"/>
  <c r="D137" i="1"/>
  <c r="D138" i="1"/>
  <c r="D139" i="1"/>
  <c r="D141" i="1"/>
  <c r="D143" i="1"/>
  <c r="D144" i="1"/>
  <c r="D145" i="1"/>
  <c r="D146" i="1"/>
  <c r="F136" i="1"/>
  <c r="D35" i="1"/>
  <c r="C37" i="1"/>
  <c r="D37" i="1" s="1"/>
  <c r="E37" i="1" s="1"/>
  <c r="C25" i="6"/>
  <c r="D25" i="6" s="1"/>
  <c r="E25" i="6" s="1"/>
  <c r="D13" i="1" l="1"/>
  <c r="D9" i="1"/>
  <c r="D6" i="1"/>
  <c r="D20" i="1"/>
  <c r="C21" i="1"/>
  <c r="D21" i="1" s="1"/>
  <c r="D5" i="10"/>
  <c r="D6" i="10"/>
  <c r="D7" i="10"/>
  <c r="D8" i="10"/>
  <c r="D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4" i="10"/>
  <c r="B28" i="10"/>
  <c r="B11" i="9" l="1"/>
  <c r="B6" i="9"/>
  <c r="B69" i="6"/>
  <c r="E69" i="6" s="1"/>
  <c r="B6" i="2" l="1"/>
  <c r="B13" i="2"/>
  <c r="E131" i="1" l="1"/>
  <c r="B115" i="1"/>
  <c r="E25" i="1"/>
  <c r="E94" i="1"/>
  <c r="E122" i="1"/>
  <c r="B155" i="1"/>
  <c r="B98" i="6" l="1"/>
  <c r="E62" i="6"/>
  <c r="B62" i="6"/>
  <c r="F98" i="6" l="1"/>
  <c r="F62" i="6"/>
  <c r="B17" i="4"/>
  <c r="E8" i="3" l="1"/>
  <c r="E7" i="3"/>
  <c r="F6" i="1" l="1"/>
  <c r="F7" i="1"/>
  <c r="F9" i="1"/>
  <c r="B25" i="1"/>
  <c r="B182" i="1" s="1"/>
  <c r="F11" i="1"/>
  <c r="F12" i="1"/>
  <c r="F13" i="1"/>
  <c r="F14" i="1"/>
  <c r="F15" i="1"/>
  <c r="F16" i="1"/>
  <c r="F18" i="1"/>
  <c r="F19" i="1"/>
  <c r="F20" i="1"/>
  <c r="F21" i="1"/>
  <c r="F22" i="1"/>
  <c r="F23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B63" i="1"/>
  <c r="C63" i="1"/>
  <c r="C187" i="1" s="1"/>
  <c r="D63" i="1"/>
  <c r="D187" i="1" s="1"/>
  <c r="F67" i="1"/>
  <c r="F68" i="1"/>
  <c r="F69" i="1"/>
  <c r="F70" i="1"/>
  <c r="F71" i="1"/>
  <c r="F72" i="1"/>
  <c r="F73" i="1"/>
  <c r="F74" i="1"/>
  <c r="F75" i="1"/>
  <c r="F76" i="1"/>
  <c r="F78" i="1"/>
  <c r="F79" i="1"/>
  <c r="F80" i="1"/>
  <c r="F81" i="1"/>
  <c r="F82" i="1"/>
  <c r="F83" i="1"/>
  <c r="F84" i="1"/>
  <c r="D94" i="1"/>
  <c r="D188" i="1" s="1"/>
  <c r="F86" i="1"/>
  <c r="F87" i="1"/>
  <c r="F88" i="1"/>
  <c r="F89" i="1"/>
  <c r="F90" i="1"/>
  <c r="F91" i="1"/>
  <c r="C94" i="1"/>
  <c r="C188" i="1" s="1"/>
  <c r="F98" i="1"/>
  <c r="F99" i="1"/>
  <c r="F100" i="1"/>
  <c r="F102" i="1"/>
  <c r="F104" i="1"/>
  <c r="F105" i="1"/>
  <c r="F107" i="1"/>
  <c r="F108" i="1"/>
  <c r="F109" i="1"/>
  <c r="F111" i="1"/>
  <c r="F113" i="1"/>
  <c r="C115" i="1"/>
  <c r="C189" i="1" s="1"/>
  <c r="D115" i="1"/>
  <c r="D189" i="1" s="1"/>
  <c r="E115" i="1"/>
  <c r="E189" i="1" s="1"/>
  <c r="F119" i="1"/>
  <c r="B122" i="1"/>
  <c r="F122" i="1" s="1"/>
  <c r="C122" i="1"/>
  <c r="C190" i="1" s="1"/>
  <c r="D122" i="1"/>
  <c r="D190" i="1" s="1"/>
  <c r="E190" i="1"/>
  <c r="F127" i="1"/>
  <c r="F128" i="1"/>
  <c r="F129" i="1"/>
  <c r="B131" i="1"/>
  <c r="C131" i="1"/>
  <c r="C191" i="1" s="1"/>
  <c r="D131" i="1"/>
  <c r="D191" i="1" s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C155" i="1"/>
  <c r="C192" i="1" s="1"/>
  <c r="D155" i="1"/>
  <c r="D192" i="1" s="1"/>
  <c r="E155" i="1"/>
  <c r="E192" i="1" s="1"/>
  <c r="F160" i="1"/>
  <c r="F162" i="1"/>
  <c r="F163" i="1"/>
  <c r="C177" i="1"/>
  <c r="C193" i="1" s="1"/>
  <c r="E177" i="1"/>
  <c r="F165" i="1"/>
  <c r="F167" i="1"/>
  <c r="F168" i="1"/>
  <c r="F169" i="1"/>
  <c r="F170" i="1"/>
  <c r="F171" i="1"/>
  <c r="F172" i="1"/>
  <c r="F173" i="1"/>
  <c r="F174" i="1"/>
  <c r="F175" i="1"/>
  <c r="B177" i="1"/>
  <c r="D177" i="1"/>
  <c r="D193" i="1" s="1"/>
  <c r="B187" i="1"/>
  <c r="B188" i="1"/>
  <c r="B189" i="1"/>
  <c r="B191" i="1"/>
  <c r="B192" i="1"/>
  <c r="B193" i="1"/>
  <c r="F199" i="1"/>
  <c r="H16" i="6"/>
  <c r="H15" i="6"/>
  <c r="F191" i="1" l="1"/>
  <c r="F192" i="1"/>
  <c r="F115" i="1"/>
  <c r="E188" i="1"/>
  <c r="F188" i="1" s="1"/>
  <c r="F164" i="1"/>
  <c r="F155" i="1"/>
  <c r="E193" i="1"/>
  <c r="F193" i="1" s="1"/>
  <c r="F177" i="1"/>
  <c r="E63" i="1"/>
  <c r="C195" i="1"/>
  <c r="F189" i="1"/>
  <c r="D195" i="1"/>
  <c r="C25" i="1"/>
  <c r="C182" i="1" s="1"/>
  <c r="F131" i="1"/>
  <c r="D25" i="1"/>
  <c r="D182" i="1" s="1"/>
  <c r="F10" i="1"/>
  <c r="B190" i="1"/>
  <c r="B195" i="1" s="1"/>
  <c r="B197" i="1" s="1"/>
  <c r="C197" i="1" l="1"/>
  <c r="D197" i="1"/>
  <c r="F94" i="1"/>
  <c r="E187" i="1"/>
  <c r="F63" i="1"/>
  <c r="F190" i="1"/>
  <c r="B51" i="6"/>
  <c r="F49" i="6"/>
  <c r="C51" i="6"/>
  <c r="E4" i="2"/>
  <c r="F187" i="1" l="1"/>
  <c r="E195" i="1"/>
  <c r="B137" i="6"/>
  <c r="J6" i="1" a="1"/>
  <c r="J6" i="1" s="1"/>
  <c r="F195" i="1" l="1"/>
  <c r="D204" i="1"/>
  <c r="C28" i="10"/>
  <c r="L6" i="1" l="1"/>
  <c r="F5" i="1" l="1"/>
  <c r="F25" i="1"/>
  <c r="E182" i="1"/>
  <c r="H2" i="1"/>
  <c r="F182" i="1" l="1"/>
  <c r="E197" i="1"/>
  <c r="F197" i="1" s="1"/>
  <c r="L2" i="1"/>
  <c r="B134" i="6"/>
  <c r="B135" i="6" s="1"/>
  <c r="B132" i="6"/>
  <c r="B138" i="6" s="1"/>
  <c r="D51" i="6"/>
  <c r="D118" i="6" s="1"/>
  <c r="D120" i="6" l="1"/>
  <c r="D106" i="6"/>
  <c r="E106" i="6" l="1"/>
  <c r="D14" i="6" l="1"/>
  <c r="D113" i="6" s="1"/>
  <c r="E14" i="6"/>
  <c r="H14" i="6" s="1"/>
  <c r="E6" i="2"/>
  <c r="C8" i="4"/>
  <c r="C17" i="4" s="1"/>
  <c r="D87" i="6" l="1"/>
  <c r="D119" i="6" s="1"/>
  <c r="D123" i="6" s="1"/>
  <c r="D125" i="6" s="1"/>
  <c r="C87" i="6"/>
  <c r="E51" i="6"/>
  <c r="E28" i="10" l="1"/>
  <c r="E10" i="3"/>
  <c r="F10" i="3" s="1"/>
  <c r="F8" i="3"/>
  <c r="F5" i="10"/>
  <c r="F6" i="10"/>
  <c r="F7" i="10"/>
  <c r="F8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4" i="10"/>
  <c r="F10" i="2"/>
  <c r="F11" i="2"/>
  <c r="F4" i="2"/>
  <c r="F7" i="3"/>
  <c r="F4" i="3"/>
  <c r="F5" i="4"/>
  <c r="F8" i="4"/>
  <c r="F11" i="4"/>
  <c r="F12" i="4"/>
  <c r="F15" i="4"/>
  <c r="F19" i="4"/>
  <c r="F4" i="4"/>
  <c r="F101" i="6"/>
  <c r="F102" i="6"/>
  <c r="F104" i="6"/>
  <c r="F106" i="6"/>
  <c r="F96" i="6"/>
  <c r="F65" i="6"/>
  <c r="F66" i="6"/>
  <c r="F67" i="6"/>
  <c r="F68" i="6"/>
  <c r="F69" i="6"/>
  <c r="F70" i="6"/>
  <c r="F71" i="6"/>
  <c r="F72" i="6"/>
  <c r="F73" i="6"/>
  <c r="F74" i="6"/>
  <c r="F76" i="6"/>
  <c r="F77" i="6"/>
  <c r="F78" i="6"/>
  <c r="F79" i="6"/>
  <c r="F80" i="6"/>
  <c r="F81" i="6"/>
  <c r="F82" i="6"/>
  <c r="F83" i="6"/>
  <c r="F84" i="6"/>
  <c r="F60" i="6"/>
  <c r="F9" i="6"/>
  <c r="F10" i="6"/>
  <c r="F12" i="6"/>
  <c r="F14" i="6"/>
  <c r="F22" i="6"/>
  <c r="F23" i="6"/>
  <c r="F24" i="6"/>
  <c r="F25" i="6"/>
  <c r="F26" i="6"/>
  <c r="F27" i="6"/>
  <c r="F28" i="6"/>
  <c r="F29" i="6"/>
  <c r="F30" i="6"/>
  <c r="F31" i="6"/>
  <c r="F32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21" i="6"/>
  <c r="F8" i="6"/>
  <c r="C89" i="6" l="1"/>
  <c r="C14" i="6"/>
  <c r="C13" i="2"/>
  <c r="D13" i="2"/>
  <c r="D15" i="2" s="1"/>
  <c r="D41" i="13" l="1"/>
  <c r="F6" i="2"/>
  <c r="E13" i="2"/>
  <c r="F17" i="2" l="1"/>
  <c r="F13" i="2"/>
  <c r="H40" i="1" l="1"/>
  <c r="H41" i="1" l="1"/>
  <c r="F51" i="6" l="1"/>
  <c r="K2" i="1"/>
  <c r="K12" i="1" l="1"/>
  <c r="K13" i="1" s="1"/>
  <c r="H18" i="1" l="1"/>
  <c r="H17" i="1"/>
  <c r="H39" i="1"/>
  <c r="I19" i="1" l="1"/>
  <c r="C8" i="3"/>
  <c r="C7" i="3"/>
  <c r="C6" i="2"/>
  <c r="C15" i="2" s="1"/>
  <c r="B15" i="2"/>
  <c r="D6" i="2"/>
  <c r="C25" i="2"/>
  <c r="B25" i="2"/>
  <c r="D22" i="2"/>
  <c r="E15" i="2"/>
  <c r="F15" i="2" s="1"/>
  <c r="D23" i="2"/>
  <c r="D28" i="10"/>
  <c r="H20" i="1"/>
  <c r="F28" i="10" l="1"/>
  <c r="D25" i="2"/>
  <c r="I18" i="1"/>
  <c r="I20" i="1"/>
  <c r="C10" i="3"/>
  <c r="H38" i="1" l="1"/>
  <c r="B14" i="9" l="1"/>
  <c r="C14" i="9"/>
  <c r="D14" i="9"/>
  <c r="D17" i="4" l="1"/>
  <c r="B13" i="3"/>
  <c r="B120" i="6"/>
  <c r="C19" i="4" l="1"/>
  <c r="B119" i="6" l="1"/>
  <c r="E118" i="6"/>
  <c r="C113" i="6"/>
  <c r="B118" i="6"/>
  <c r="E113" i="6"/>
  <c r="E87" i="6"/>
  <c r="F118" i="6" l="1"/>
  <c r="E89" i="6"/>
  <c r="F87" i="6"/>
  <c r="C53" i="6"/>
  <c r="C118" i="6"/>
  <c r="B53" i="6"/>
  <c r="B89" i="6"/>
  <c r="B123" i="6"/>
  <c r="E53" i="6"/>
  <c r="E120" i="6"/>
  <c r="F120" i="6" s="1"/>
  <c r="E119" i="6"/>
  <c r="F119" i="6" s="1"/>
  <c r="B113" i="6"/>
  <c r="F113" i="6" s="1"/>
  <c r="F53" i="6" l="1"/>
  <c r="F89" i="6"/>
  <c r="B125" i="6"/>
  <c r="E123" i="6"/>
  <c r="F123" i="6" s="1"/>
  <c r="D89" i="6"/>
  <c r="B129" i="6"/>
  <c r="F129" i="6" s="1"/>
  <c r="C119" i="6"/>
  <c r="D53" i="6"/>
  <c r="D8" i="3"/>
  <c r="D7" i="3"/>
  <c r="H42" i="1"/>
  <c r="H37" i="1" l="1"/>
  <c r="E125" i="6"/>
  <c r="F125" i="6" s="1"/>
  <c r="C120" i="6"/>
  <c r="C123" i="6" s="1"/>
  <c r="C106" i="6"/>
  <c r="D10" i="3"/>
  <c r="C129" i="6" l="1"/>
  <c r="C125" i="6"/>
  <c r="G6" i="1" l="1"/>
  <c r="H13" i="1" l="1"/>
  <c r="E4" i="9" s="1"/>
  <c r="F4" i="9" l="1"/>
  <c r="E6" i="9"/>
  <c r="E9" i="9" l="1"/>
  <c r="F6" i="9"/>
  <c r="E11" i="9" l="1"/>
  <c r="F9" i="9"/>
  <c r="F11" i="9" l="1"/>
  <c r="E14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 Barth</author>
  </authors>
  <commentList>
    <comment ref="A125" authorId="0" shapeId="0" xr:uid="{448D0859-C339-43E8-B67D-8EB930E1498C}">
      <text/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<sst xmlns="http://schemas.openxmlformats.org/spreadsheetml/2006/main" count="475" uniqueCount="280">
  <si>
    <t>Property Tax Revenue (M&amp;O)</t>
  </si>
  <si>
    <t>Sales Tax Revenue</t>
  </si>
  <si>
    <t>Franchise Fees</t>
  </si>
  <si>
    <t xml:space="preserve">R.V. Park Rental </t>
  </si>
  <si>
    <t xml:space="preserve">Pavillion </t>
  </si>
  <si>
    <t>Rural Fire Calls</t>
  </si>
  <si>
    <t>Permits</t>
  </si>
  <si>
    <t>Cemetery Lots</t>
  </si>
  <si>
    <t>Library Rental</t>
  </si>
  <si>
    <t>Donations and Memorials</t>
  </si>
  <si>
    <t>Book Fines</t>
  </si>
  <si>
    <t>Arrest Fee</t>
  </si>
  <si>
    <t>Child Safety Seat Belt</t>
  </si>
  <si>
    <t>Consolidated Court 97/99</t>
  </si>
  <si>
    <t>Consolidated Court 95/97</t>
  </si>
  <si>
    <t>Moving Violations</t>
  </si>
  <si>
    <t>Traffic Fund</t>
  </si>
  <si>
    <t>State Jury Fee</t>
  </si>
  <si>
    <t>JF-1 Judicial Fee - State</t>
  </si>
  <si>
    <t>Child Safety Program</t>
  </si>
  <si>
    <t>Miscellaneous</t>
  </si>
  <si>
    <t>Fire Department Billing Collection</t>
  </si>
  <si>
    <t>GENERAL FUND EXPENSES</t>
  </si>
  <si>
    <t>Administration</t>
  </si>
  <si>
    <t>Salaries</t>
  </si>
  <si>
    <t>Longevity Pay</t>
  </si>
  <si>
    <t>Social Security/Medicare Taxes</t>
  </si>
  <si>
    <t>SUTA</t>
  </si>
  <si>
    <t>Health, Dental, Life Insurance</t>
  </si>
  <si>
    <t>Worker's Comp</t>
  </si>
  <si>
    <t>Retirement Expense</t>
  </si>
  <si>
    <t>Travel &amp; Training</t>
  </si>
  <si>
    <t>Memberships &amp; Subscriptions</t>
  </si>
  <si>
    <t xml:space="preserve">Legal Fees </t>
  </si>
  <si>
    <t>Audit &amp; Accounting fees</t>
  </si>
  <si>
    <t>Election Expense</t>
  </si>
  <si>
    <t>Pest Control</t>
  </si>
  <si>
    <t>Computer Support</t>
  </si>
  <si>
    <t>Tax Office Fees</t>
  </si>
  <si>
    <t>Printing &amp; Office Supplies</t>
  </si>
  <si>
    <t>Postage,Frieght&amp; Delivery</t>
  </si>
  <si>
    <t>Advertising</t>
  </si>
  <si>
    <t xml:space="preserve">Telephone </t>
  </si>
  <si>
    <t>Permits &amp; License Fees</t>
  </si>
  <si>
    <t xml:space="preserve">Fuel, Oil, &amp; Gas </t>
  </si>
  <si>
    <t>Food &amp; Ice</t>
  </si>
  <si>
    <t>Supplies</t>
  </si>
  <si>
    <t>Repair &amp; Maintenance</t>
  </si>
  <si>
    <t>Insurance</t>
  </si>
  <si>
    <t>Equipment</t>
  </si>
  <si>
    <t>Refunds- Pavilion</t>
  </si>
  <si>
    <t>Inspector Fees</t>
  </si>
  <si>
    <t>Total Expenses</t>
  </si>
  <si>
    <t>Street and Parks</t>
  </si>
  <si>
    <t>Workers Comp</t>
  </si>
  <si>
    <t>Uniforms</t>
  </si>
  <si>
    <t>Engineering Fees</t>
  </si>
  <si>
    <t>Animal Control</t>
  </si>
  <si>
    <t>Telephone</t>
  </si>
  <si>
    <t>Electricity</t>
  </si>
  <si>
    <t>Elec. - Baseball Field</t>
  </si>
  <si>
    <t>Elec. - RV Park</t>
  </si>
  <si>
    <t>Memorial</t>
  </si>
  <si>
    <t>Fuel &amp; Oil &amp; Gas</t>
  </si>
  <si>
    <t>Supplies - Parks</t>
  </si>
  <si>
    <t>Repair and Maintenance - Parks</t>
  </si>
  <si>
    <t>Repair and Maintenance - Streets</t>
  </si>
  <si>
    <t>Fire</t>
  </si>
  <si>
    <t>Audit &amp; Accounting Fees</t>
  </si>
  <si>
    <t>Fire Chief</t>
  </si>
  <si>
    <t>Repair and Maintenance</t>
  </si>
  <si>
    <t>Pump/Air Tank Maintenance</t>
  </si>
  <si>
    <t>Vehicle Purchase</t>
  </si>
  <si>
    <t>Vehicle Note</t>
  </si>
  <si>
    <t>Police</t>
  </si>
  <si>
    <t>Legal Fees</t>
  </si>
  <si>
    <t>Contract Labor</t>
  </si>
  <si>
    <t>Postage, Freight, &amp; Delivery</t>
  </si>
  <si>
    <t>Library</t>
  </si>
  <si>
    <t>Membership &amp; Subscriptions</t>
  </si>
  <si>
    <t>Repair and Maintenence</t>
  </si>
  <si>
    <t>Technology Support</t>
  </si>
  <si>
    <t>Library Books</t>
  </si>
  <si>
    <t>State Court Cost</t>
  </si>
  <si>
    <t>Postage, Freight &amp; Delivery</t>
  </si>
  <si>
    <t>Software Maintenance</t>
  </si>
  <si>
    <t>Refunds</t>
  </si>
  <si>
    <t>Juror Fee</t>
  </si>
  <si>
    <t>GENERAL FUND</t>
  </si>
  <si>
    <t>REVENUES</t>
  </si>
  <si>
    <t>EXPENDITURE</t>
  </si>
  <si>
    <t>ADMINISTRATION</t>
  </si>
  <si>
    <t>FIRE</t>
  </si>
  <si>
    <t>POLICE</t>
  </si>
  <si>
    <t>LIBRARY</t>
  </si>
  <si>
    <t>COURT</t>
  </si>
  <si>
    <t>Debt Service Fund</t>
  </si>
  <si>
    <t>Revenues</t>
  </si>
  <si>
    <t>Property Tax Revenues (I&amp;S)</t>
  </si>
  <si>
    <t>Total (I&amp;S) Revenue</t>
  </si>
  <si>
    <t>Expenditures</t>
  </si>
  <si>
    <t>CO Series 2013</t>
  </si>
  <si>
    <t>Fund Balance</t>
  </si>
  <si>
    <t>Tourism Fund</t>
  </si>
  <si>
    <t>Hotel/Motel Tax</t>
  </si>
  <si>
    <t>Expenses</t>
  </si>
  <si>
    <t xml:space="preserve">Remittance to Chamber </t>
  </si>
  <si>
    <t>Remittance to Historical Society</t>
  </si>
  <si>
    <t>Special Revenue &amp; Grant Fund</t>
  </si>
  <si>
    <t>Revenue</t>
  </si>
  <si>
    <t>Water</t>
  </si>
  <si>
    <t>Water Sales</t>
  </si>
  <si>
    <t>Connect and Reconnect Fees</t>
  </si>
  <si>
    <t>Late Charges</t>
  </si>
  <si>
    <t>Water Tap Fee Revenue</t>
  </si>
  <si>
    <t>Chemicals &amp; Chlorine</t>
  </si>
  <si>
    <t>Laboratory Fees</t>
  </si>
  <si>
    <t>Maintenance Reserve</t>
  </si>
  <si>
    <t>Critical One-Time Items</t>
  </si>
  <si>
    <t>Transfer To General Fund</t>
  </si>
  <si>
    <t>Sewer</t>
  </si>
  <si>
    <t>Travel and Training</t>
  </si>
  <si>
    <t>SANITATION</t>
  </si>
  <si>
    <t>Solid Waste Sales</t>
  </si>
  <si>
    <t>Garbage - Wholesale Service (TDS)</t>
  </si>
  <si>
    <t>Sanitation</t>
  </si>
  <si>
    <t>Transfer to General</t>
  </si>
  <si>
    <t>Effective M&amp;O</t>
  </si>
  <si>
    <t>Total Tax Rate</t>
  </si>
  <si>
    <t>Total Debt Service</t>
  </si>
  <si>
    <t>Total Expense</t>
  </si>
  <si>
    <t>EDC Sales Tax Revenue</t>
  </si>
  <si>
    <t>Total Revenue</t>
  </si>
  <si>
    <t>EDC Sales Tax Expense</t>
  </si>
  <si>
    <t>Total Water Revenues</t>
  </si>
  <si>
    <t>Revenue over Expenditure</t>
  </si>
  <si>
    <t>Sewer Sales</t>
  </si>
  <si>
    <t>Revenue over Expenditures</t>
  </si>
  <si>
    <t>Revenue Over Expenditures</t>
  </si>
  <si>
    <t>General Fund Revenues</t>
  </si>
  <si>
    <t>Physicals</t>
  </si>
  <si>
    <t>Total General Fund Revenue</t>
  </si>
  <si>
    <t>STREETS AND PARKS</t>
  </si>
  <si>
    <t>TOTAL EXPENDITURES</t>
  </si>
  <si>
    <t>Consolidated Court 91/95</t>
  </si>
  <si>
    <t>Municipal Court Tech</t>
  </si>
  <si>
    <t>Municipal Court Security</t>
  </si>
  <si>
    <t>Levy</t>
  </si>
  <si>
    <t>Sales Tax Calculator</t>
  </si>
  <si>
    <t>EDC</t>
  </si>
  <si>
    <t xml:space="preserve">Truancy Prevention and Diversion </t>
  </si>
  <si>
    <t>NET FUND BALANCE</t>
  </si>
  <si>
    <t>Property Tax (M&amp;O)</t>
  </si>
  <si>
    <t>General Sales Tax</t>
  </si>
  <si>
    <t>Municipal Court</t>
  </si>
  <si>
    <t>YEDC Sales Tax Fund</t>
  </si>
  <si>
    <t>Municipal Court Other</t>
  </si>
  <si>
    <t>Municipal Court Fines</t>
  </si>
  <si>
    <t>Copies &amp; Faxes</t>
  </si>
  <si>
    <t>Muncipal Court Other Revenues</t>
  </si>
  <si>
    <t>Total General Fund Court Other Revenue</t>
  </si>
  <si>
    <t>Principle</t>
  </si>
  <si>
    <t>Interest</t>
  </si>
  <si>
    <t>Total</t>
  </si>
  <si>
    <t>GO Refunding 2019</t>
  </si>
  <si>
    <t>Totals</t>
  </si>
  <si>
    <t>Capital Improvement Fund</t>
  </si>
  <si>
    <t>Operating Transfers</t>
  </si>
  <si>
    <t>CDBG 19-20 Grant</t>
  </si>
  <si>
    <t>CDBG DR Harvey Grant</t>
  </si>
  <si>
    <t>Total CIP Revenue</t>
  </si>
  <si>
    <t>CDBG Grant Administration Fees</t>
  </si>
  <si>
    <t>CDBG Engineering Fees</t>
  </si>
  <si>
    <t>Total CIP Expenditures</t>
  </si>
  <si>
    <t>Bond YTD Outstanding Totals</t>
  </si>
  <si>
    <t>Mixed Beverage</t>
  </si>
  <si>
    <t>Tax Appraisal District Fees</t>
  </si>
  <si>
    <t>Net Taxable Values</t>
  </si>
  <si>
    <t>M&amp;O Rate Needed</t>
  </si>
  <si>
    <t>$</t>
  </si>
  <si>
    <t>Avg Household Value</t>
  </si>
  <si>
    <t xml:space="preserve">Levy </t>
  </si>
  <si>
    <t>Levy Estimated</t>
  </si>
  <si>
    <t>Per Diem</t>
  </si>
  <si>
    <t>Engineering</t>
  </si>
  <si>
    <t>M&amp;O Revenue Cap</t>
  </si>
  <si>
    <t>M&amp;O Rollback - M&amp;O Effective</t>
  </si>
  <si>
    <t>Revenue Over (Under) Expenditures</t>
  </si>
  <si>
    <t>Collection % Anticipated</t>
  </si>
  <si>
    <t>Pump House Restoration Note</t>
  </si>
  <si>
    <t>Returned Check Fee Revenue</t>
  </si>
  <si>
    <t>Revenue Over (Under) Exp</t>
  </si>
  <si>
    <t>Transfer to CIP</t>
  </si>
  <si>
    <t>Budget 2019-2020</t>
  </si>
  <si>
    <t>Actual 5/31/2020</t>
  </si>
  <si>
    <t>Adopted 2020-2021</t>
  </si>
  <si>
    <t>Law Enforcement Contract Services</t>
  </si>
  <si>
    <t>2020-2021 % Change</t>
  </si>
  <si>
    <t>Board Prisoners</t>
  </si>
  <si>
    <t>Indigent Defense Fee</t>
  </si>
  <si>
    <t>-</t>
  </si>
  <si>
    <t>Fire Truck Debt Relief Grant</t>
  </si>
  <si>
    <t>Fire Truck Debt Relief Payment</t>
  </si>
  <si>
    <t>Transfer Total</t>
  </si>
  <si>
    <t>Administrative Fee</t>
  </si>
  <si>
    <t>School Crossing Zone</t>
  </si>
  <si>
    <t>Actual Anticipated</t>
  </si>
  <si>
    <t>Fund</t>
  </si>
  <si>
    <t>ENTERPRISE FUND</t>
  </si>
  <si>
    <t>WATER</t>
  </si>
  <si>
    <t>SEWER</t>
  </si>
  <si>
    <t>CIP Transfer</t>
  </si>
  <si>
    <t>Effective Change</t>
  </si>
  <si>
    <t>TCEQ Fines</t>
  </si>
  <si>
    <t>Total Sewer Revenues</t>
  </si>
  <si>
    <t>Total Solid Waste Revenues</t>
  </si>
  <si>
    <t>REVENUES OVER (UNDER)</t>
  </si>
  <si>
    <t>ENTEPRRISE FUND TOTALS</t>
  </si>
  <si>
    <t>Budget 2020-2021</t>
  </si>
  <si>
    <t>Actual 5/31/2021</t>
  </si>
  <si>
    <t>Estimated 9/30/2021</t>
  </si>
  <si>
    <t>2021-2022 % Change</t>
  </si>
  <si>
    <t>Cemetery</t>
  </si>
  <si>
    <t>Proposed 2021-2022</t>
  </si>
  <si>
    <t>Transfer To Balance</t>
  </si>
  <si>
    <t>Consolidated Court Cost 1</t>
  </si>
  <si>
    <t>Warrant Fee</t>
  </si>
  <si>
    <t>Estimated 9/30/2020</t>
  </si>
  <si>
    <t>State Traffic Fine</t>
  </si>
  <si>
    <t>Delinquent Collection Fee</t>
  </si>
  <si>
    <t>Over Payment of Fine</t>
  </si>
  <si>
    <t>Time Payment - 1 (State)</t>
  </si>
  <si>
    <t>Time Payment - 2 (City)</t>
  </si>
  <si>
    <t>Time Payment - 3 (Court)</t>
  </si>
  <si>
    <t>JF-2 Judicial Fee - City</t>
  </si>
  <si>
    <t xml:space="preserve">City General Levy </t>
  </si>
  <si>
    <t>TOTAL REVENUES</t>
  </si>
  <si>
    <t>EXPENDITURES PER FUND</t>
  </si>
  <si>
    <t>CEMETERY</t>
  </si>
  <si>
    <t>20-21 Projected Transfer</t>
  </si>
  <si>
    <t>Transfer Needed</t>
  </si>
  <si>
    <t>Interfund Transfers</t>
  </si>
  <si>
    <t>20-21 Transfer Needed</t>
  </si>
  <si>
    <t>CDBG MIT Harvey</t>
  </si>
  <si>
    <t>CDBG 21-22 Grant</t>
  </si>
  <si>
    <t>Lease/License</t>
  </si>
  <si>
    <t>Transfers In</t>
  </si>
  <si>
    <t>GF Performance Measures</t>
  </si>
  <si>
    <t>2018-2019</t>
  </si>
  <si>
    <t>2020-2021</t>
  </si>
  <si>
    <t>2021-2022</t>
  </si>
  <si>
    <t>Limit Enterprise to General Transfers to under 20% of total Enterprise Budget</t>
  </si>
  <si>
    <t>Budget a Fund Balance of 20% of General Fund Expenditures</t>
  </si>
  <si>
    <t>Engineer</t>
  </si>
  <si>
    <t>CDBG 19-21</t>
  </si>
  <si>
    <t>CDBG-DR</t>
  </si>
  <si>
    <t>CDBG-MIT</t>
  </si>
  <si>
    <t>CDBG 21-22</t>
  </si>
  <si>
    <t>Administrator</t>
  </si>
  <si>
    <t>City Match</t>
  </si>
  <si>
    <t>CDBG DR Contractor Harvey Project</t>
  </si>
  <si>
    <t>CDBG 19-20 Contractor East Waterline Project</t>
  </si>
  <si>
    <t xml:space="preserve">CIP Performance Measures </t>
  </si>
  <si>
    <t>FY 2019-2020</t>
  </si>
  <si>
    <t>FY 2020-2021</t>
  </si>
  <si>
    <t>FY 2021-2022</t>
  </si>
  <si>
    <t>Grant Funding 90% + of CIP Budget</t>
  </si>
  <si>
    <t>CDBG MIT Contractor Sewer Plant Project</t>
  </si>
  <si>
    <t>21-22 % Change</t>
  </si>
  <si>
    <t xml:space="preserve">REVENUE OVER (UNDER) </t>
  </si>
  <si>
    <t>CDBG 20-21 Contractor Waterlines</t>
  </si>
  <si>
    <t>Contractor</t>
  </si>
  <si>
    <t>Cost Per Grant</t>
  </si>
  <si>
    <t>Enterprise Transfer</t>
  </si>
  <si>
    <t>Difference</t>
  </si>
  <si>
    <t>American Rescue Plan (ARP) Fund</t>
  </si>
  <si>
    <t xml:space="preserve">ARP </t>
  </si>
  <si>
    <t>TRANSFER TO CIP</t>
  </si>
  <si>
    <t xml:space="preserve">I&amp;S Rate </t>
  </si>
  <si>
    <t xml:space="preserve">Effective M&amp;O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</si>
</sst>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#,##0_);[Red]\(&quot;$&quot;#,##0\)"/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&quot;$&quot;#,##0.00"/>
    <numFmt numFmtId="166" formatCode="_(&quot;$&quot;* #,##0_);_(&quot;$&quot;* \(#,##0\);_(&quot;$&quot;* &quot;-&quot;??_);_(@_)"/>
    <numFmt numFmtId="167" formatCode="&quot;$&quot;#,##0"/>
    <numFmt numFmtId="168" formatCode="_(&quot;$&quot;* #,##0.00000_);_(&quot;$&quot;* \(#,##0.00000\);_(&quot;$&quot;* &quot;-&quot;?????_);_(@_)"/>
    <numFmt numFmtId="169" formatCode="0.000000"/>
    <numFmt numFmtId="170" formatCode="_(&quot;$&quot;* #,##0.00000_);_(&quot;$&quot;* \(#,##0.00000\);_(&quot;$&quot;* &quot;-&quot;??_);_(@_)"/>
    <numFmt numFmtId="171" formatCode="_(&quot;$&quot;* #,##0.000000_);_(&quot;$&quot;* \(#,##0.000000\);_(&quot;$&quot;* &quot;-&quot;??_);_(@_)"/>
    <numFmt numFmtId="172" formatCode="_(&quot;$&quot;* #,##0.000000_);_(&quot;$&quot;* \(#,##0.000000\);_(&quot;$&quot;* &quot;-&quot;??????_);_(@_)"/>
    <numFmt numFmtId="173" formatCode="_(&quot;$&quot;* #,##0_);_(&quot;$&quot;* \(#,##0\);_(&quot;$&quot;* &quot;-&quot;?????_);_(@_)"/>
    <numFmt numFmtId="174" formatCode="0.0%"/>
    <numFmt numFmtId="175" formatCode="_(&quot;$&quot;* #,##0.0_);_(&quot;$&quot;* \(#,##0.0\);_(&quot;$&quot;* &quot;-&quot;?_);_(@_)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u/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u/>
      <sz val="11"/>
      <color rgb="FF000000"/>
      <name val="Times New Roman"/>
      <family val="1"/>
    </font>
    <font>
      <sz val="11"/>
      <color theme="1"/>
      <name val="Times New Roman"/>
      <family val="1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9C0006"/>
      <name val="Calibri"/>
      <family val="2"/>
      <scheme val="minor"/>
    </font>
    <font>
      <b/>
      <sz val="11"/>
      <color rgb="FF9C6500"/>
      <name val="Calibri"/>
      <family val="2"/>
      <scheme val="minor"/>
    </font>
    <font>
      <b/>
      <u val="singleAccounting"/>
      <sz val="11"/>
      <color rgb="FF006100"/>
      <name val="Calibri"/>
      <family val="2"/>
      <scheme val="minor"/>
    </font>
    <font>
      <b/>
      <u val="singleAccounting"/>
      <sz val="11"/>
      <color rgb="FF9C0006"/>
      <name val="Calibri"/>
      <family val="2"/>
      <scheme val="minor"/>
    </font>
    <font>
      <b/>
      <u val="singleAccounting"/>
      <sz val="11"/>
      <color rgb="FF9C6500"/>
      <name val="Calibri"/>
      <family val="2"/>
      <scheme val="minor"/>
    </font>
    <font>
      <b/>
      <u/>
      <sz val="11"/>
      <color rgb="FF006100"/>
      <name val="Calibri"/>
      <family val="2"/>
      <scheme val="minor"/>
    </font>
    <font>
      <b/>
      <u/>
      <sz val="11"/>
      <color rgb="FF9C0006"/>
      <name val="Calibri"/>
      <family val="2"/>
      <scheme val="minor"/>
    </font>
    <font>
      <b/>
      <u/>
      <sz val="11"/>
      <color rgb="FF9C65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u/>
      <sz val="11"/>
      <color rgb="FF3F3F76"/>
      <name val="Calibri"/>
      <family val="2"/>
      <scheme val="minor"/>
    </font>
    <font>
      <b/>
      <u val="singleAccounting"/>
      <sz val="11"/>
      <color rgb="FF3F3F76"/>
      <name val="Calibri"/>
      <family val="2"/>
      <scheme val="minor"/>
    </font>
    <font>
      <b/>
      <u val="singleAccounting"/>
      <sz val="12"/>
      <name val="Times New Roman"/>
      <family val="1"/>
    </font>
    <font>
      <b/>
      <sz val="18"/>
      <color theme="1"/>
      <name val="Calibri"/>
      <family val="2"/>
      <scheme val="minor"/>
    </font>
    <font>
      <b/>
      <u val="singleAccounting"/>
      <sz val="12"/>
      <name val="Calibri"/>
      <family val="2"/>
      <scheme val="minor"/>
    </font>
    <font>
      <b/>
      <u val="singleAccounting"/>
      <sz val="12"/>
      <color rgb="FF9C0006"/>
      <name val="Calibri"/>
      <family val="2"/>
      <scheme val="minor"/>
    </font>
    <font>
      <b/>
      <u val="singleAccounting"/>
      <sz val="12"/>
      <color rgb="FF9C6500"/>
      <name val="Calibri"/>
      <family val="2"/>
      <scheme val="minor"/>
    </font>
    <font>
      <b/>
      <u val="singleAccounting"/>
      <sz val="12"/>
      <color rgb="FF3F3F76"/>
      <name val="Calibri"/>
      <family val="2"/>
      <scheme val="minor"/>
    </font>
    <font>
      <b/>
      <u val="singleAccounting"/>
      <sz val="12"/>
      <color rgb="FF006100"/>
      <name val="Calibri"/>
      <family val="2"/>
      <scheme val="minor"/>
    </font>
    <font>
      <b/>
      <u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u val="singleAccounting"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u/>
      <sz val="11"/>
      <color rgb="FFFA7D00"/>
      <name val="Calibri"/>
      <family val="2"/>
      <scheme val="minor"/>
    </font>
    <font>
      <b/>
      <sz val="12"/>
      <color rgb="FFFA7D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u/>
      <sz val="15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5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u val="singleAccounting"/>
      <sz val="11"/>
      <color rgb="FFFA7D00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b/>
      <sz val="16"/>
      <color rgb="FFF2F2F2"/>
      <name val="Calibri"/>
      <family val="2"/>
    </font>
    <font>
      <b/>
      <u/>
      <sz val="16"/>
      <color rgb="FFF2F2F2"/>
      <name val="Calibri"/>
      <family val="2"/>
    </font>
    <font>
      <b/>
      <sz val="14"/>
      <color rgb="FF000000"/>
      <name val="Calibri"/>
      <family val="2"/>
    </font>
    <font>
      <sz val="18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4F81BD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</fills>
  <borders count="2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 style="medium">
        <color rgb="FFFFFFFF"/>
      </right>
      <top/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/>
      <top style="thick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</borders>
  <cellStyleXfs count="1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1" applyNumberFormat="0" applyAlignment="0" applyProtection="0"/>
    <xf numFmtId="0" fontId="7" fillId="0" borderId="0"/>
    <xf numFmtId="164" fontId="7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9" fillId="7" borderId="1" applyNumberFormat="0" applyAlignment="0" applyProtection="0"/>
    <xf numFmtId="0" fontId="52" fillId="0" borderId="8" applyNumberFormat="0" applyFill="0" applyAlignment="0" applyProtection="0"/>
  </cellStyleXfs>
  <cellXfs count="253">
    <xf numFmtId="0" fontId="0" fillId="0" borderId="0" xfId="0"/>
    <xf numFmtId="0" fontId="8" fillId="0" borderId="0" xfId="8"/>
    <xf numFmtId="0" fontId="7" fillId="0" borderId="2" xfId="5" applyBorder="1"/>
    <xf numFmtId="0" fontId="0" fillId="0" borderId="0" xfId="0"/>
    <xf numFmtId="44" fontId="22" fillId="2" borderId="2" xfId="1" applyNumberFormat="1" applyFont="1" applyBorder="1"/>
    <xf numFmtId="0" fontId="24" fillId="4" borderId="2" xfId="3" applyFont="1" applyBorder="1"/>
    <xf numFmtId="166" fontId="22" fillId="2" borderId="2" xfId="1" applyNumberFormat="1" applyFont="1" applyBorder="1"/>
    <xf numFmtId="0" fontId="0" fillId="0" borderId="2" xfId="0" applyBorder="1"/>
    <xf numFmtId="44" fontId="32" fillId="5" borderId="2" xfId="4" applyNumberFormat="1" applyFont="1" applyBorder="1"/>
    <xf numFmtId="0" fontId="2" fillId="2" borderId="2" xfId="1" applyBorder="1"/>
    <xf numFmtId="0" fontId="3" fillId="3" borderId="2" xfId="2" applyBorder="1"/>
    <xf numFmtId="0" fontId="4" fillId="4" borderId="2" xfId="3" applyBorder="1"/>
    <xf numFmtId="44" fontId="29" fillId="3" borderId="2" xfId="2" applyNumberFormat="1" applyFont="1" applyBorder="1"/>
    <xf numFmtId="166" fontId="3" fillId="3" borderId="2" xfId="2" applyNumberFormat="1" applyBorder="1"/>
    <xf numFmtId="0" fontId="5" fillId="5" borderId="2" xfId="4" applyBorder="1"/>
    <xf numFmtId="166" fontId="2" fillId="2" borderId="2" xfId="1" applyNumberFormat="1" applyBorder="1"/>
    <xf numFmtId="166" fontId="23" fillId="3" borderId="2" xfId="2" applyNumberFormat="1" applyFont="1" applyBorder="1"/>
    <xf numFmtId="44" fontId="2" fillId="2" borderId="2" xfId="1" applyNumberFormat="1" applyBorder="1"/>
    <xf numFmtId="166" fontId="29" fillId="3" borderId="2" xfId="2" applyNumberFormat="1" applyFont="1" applyBorder="1"/>
    <xf numFmtId="166" fontId="28" fillId="2" borderId="2" xfId="1" applyNumberFormat="1" applyFont="1" applyBorder="1"/>
    <xf numFmtId="44" fontId="3" fillId="3" borderId="2" xfId="2" applyNumberFormat="1" applyBorder="1"/>
    <xf numFmtId="166" fontId="4" fillId="4" borderId="2" xfId="3" applyNumberFormat="1" applyBorder="1" applyAlignment="1">
      <alignment horizontal="left"/>
    </xf>
    <xf numFmtId="44" fontId="4" fillId="4" borderId="2" xfId="3" applyNumberFormat="1" applyBorder="1" applyAlignment="1">
      <alignment horizontal="left"/>
    </xf>
    <xf numFmtId="44" fontId="5" fillId="5" borderId="2" xfId="4" applyNumberFormat="1" applyBorder="1"/>
    <xf numFmtId="44" fontId="23" fillId="3" borderId="2" xfId="2" applyNumberFormat="1" applyFont="1" applyBorder="1"/>
    <xf numFmtId="44" fontId="24" fillId="4" borderId="2" xfId="3" applyNumberFormat="1" applyFont="1" applyBorder="1" applyAlignment="1">
      <alignment horizontal="left"/>
    </xf>
    <xf numFmtId="44" fontId="30" fillId="4" borderId="2" xfId="3" applyNumberFormat="1" applyFont="1" applyBorder="1" applyAlignment="1">
      <alignment horizontal="left"/>
    </xf>
    <xf numFmtId="0" fontId="31" fillId="0" borderId="2" xfId="5" applyFont="1" applyBorder="1"/>
    <xf numFmtId="0" fontId="1" fillId="0" borderId="2" xfId="5" applyFont="1" applyBorder="1"/>
    <xf numFmtId="0" fontId="6" fillId="0" borderId="2" xfId="5" applyFont="1" applyBorder="1"/>
    <xf numFmtId="0" fontId="18" fillId="0" borderId="2" xfId="5" applyFont="1" applyBorder="1"/>
    <xf numFmtId="0" fontId="15" fillId="0" borderId="2" xfId="5" applyFont="1" applyBorder="1"/>
    <xf numFmtId="0" fontId="11" fillId="0" borderId="2" xfId="5" applyFont="1" applyBorder="1"/>
    <xf numFmtId="0" fontId="11" fillId="0" borderId="2" xfId="7" applyFont="1" applyBorder="1" applyAlignment="1">
      <alignment horizontal="left" vertical="top" wrapText="1"/>
    </xf>
    <xf numFmtId="0" fontId="13" fillId="0" borderId="2" xfId="7" applyFont="1" applyFill="1" applyBorder="1" applyAlignment="1">
      <alignment horizontal="left" vertical="top" wrapText="1"/>
    </xf>
    <xf numFmtId="0" fontId="12" fillId="0" borderId="2" xfId="7" applyFont="1" applyFill="1" applyBorder="1" applyAlignment="1">
      <alignment horizontal="left" vertical="top" wrapText="1"/>
    </xf>
    <xf numFmtId="0" fontId="13" fillId="0" borderId="2" xfId="5" applyFont="1" applyBorder="1" applyAlignment="1">
      <alignment horizontal="left" vertical="top" wrapText="1"/>
    </xf>
    <xf numFmtId="0" fontId="12" fillId="0" borderId="2" xfId="5" applyFont="1" applyBorder="1" applyAlignment="1">
      <alignment horizontal="left" vertical="top" wrapText="1"/>
    </xf>
    <xf numFmtId="0" fontId="11" fillId="0" borderId="2" xfId="8" applyFont="1" applyBorder="1"/>
    <xf numFmtId="0" fontId="9" fillId="0" borderId="2" xfId="5" applyFont="1" applyBorder="1"/>
    <xf numFmtId="0" fontId="14" fillId="0" borderId="2" xfId="5" applyFont="1" applyBorder="1"/>
    <xf numFmtId="0" fontId="11" fillId="0" borderId="2" xfId="5" applyFont="1" applyBorder="1" applyAlignment="1">
      <alignment horizontal="left" vertical="top" wrapText="1"/>
    </xf>
    <xf numFmtId="0" fontId="10" fillId="0" borderId="2" xfId="5" applyFont="1" applyBorder="1"/>
    <xf numFmtId="0" fontId="11" fillId="0" borderId="2" xfId="5" applyFont="1" applyBorder="1" applyAlignment="1">
      <alignment horizontal="left" vertical="center"/>
    </xf>
    <xf numFmtId="0" fontId="13" fillId="0" borderId="2" xfId="5" applyFont="1" applyBorder="1" applyAlignment="1">
      <alignment horizontal="left" vertical="center"/>
    </xf>
    <xf numFmtId="0" fontId="12" fillId="0" borderId="2" xfId="5" applyFont="1" applyBorder="1" applyAlignment="1">
      <alignment horizontal="left" vertical="center"/>
    </xf>
    <xf numFmtId="0" fontId="13" fillId="0" borderId="2" xfId="7" applyFont="1" applyBorder="1" applyAlignment="1">
      <alignment horizontal="left" vertical="top" wrapText="1"/>
    </xf>
    <xf numFmtId="0" fontId="12" fillId="0" borderId="2" xfId="7" applyFont="1" applyBorder="1" applyAlignment="1">
      <alignment horizontal="left" vertical="top" wrapText="1"/>
    </xf>
    <xf numFmtId="164" fontId="35" fillId="0" borderId="2" xfId="6" applyFont="1" applyBorder="1" applyAlignment="1">
      <alignment horizontal="left"/>
    </xf>
    <xf numFmtId="44" fontId="3" fillId="3" borderId="2" xfId="2" applyNumberFormat="1" applyBorder="1" applyAlignment="1">
      <alignment horizontal="right"/>
    </xf>
    <xf numFmtId="0" fontId="23" fillId="3" borderId="2" xfId="2" applyFont="1" applyBorder="1"/>
    <xf numFmtId="166" fontId="4" fillId="4" borderId="2" xfId="3" applyNumberFormat="1" applyBorder="1"/>
    <xf numFmtId="166" fontId="26" fillId="3" borderId="2" xfId="2" applyNumberFormat="1" applyFont="1" applyBorder="1"/>
    <xf numFmtId="166" fontId="25" fillId="2" borderId="2" xfId="1" applyNumberFormat="1" applyFont="1" applyBorder="1"/>
    <xf numFmtId="166" fontId="24" fillId="4" borderId="2" xfId="3" applyNumberFormat="1" applyFont="1" applyBorder="1"/>
    <xf numFmtId="166" fontId="32" fillId="5" borderId="2" xfId="4" applyNumberFormat="1" applyFont="1" applyBorder="1"/>
    <xf numFmtId="166" fontId="27" fillId="4" borderId="2" xfId="3" applyNumberFormat="1" applyFont="1" applyBorder="1"/>
    <xf numFmtId="166" fontId="34" fillId="5" borderId="1" xfId="4" applyNumberFormat="1" applyFont="1"/>
    <xf numFmtId="166" fontId="0" fillId="0" borderId="0" xfId="0" applyNumberFormat="1"/>
    <xf numFmtId="166" fontId="33" fillId="5" borderId="2" xfId="4" applyNumberFormat="1" applyFont="1" applyBorder="1"/>
    <xf numFmtId="166" fontId="30" fillId="4" borderId="2" xfId="3" applyNumberFormat="1" applyFont="1" applyBorder="1"/>
    <xf numFmtId="166" fontId="5" fillId="5" borderId="2" xfId="4" applyNumberFormat="1" applyBorder="1"/>
    <xf numFmtId="0" fontId="2" fillId="2" borderId="4" xfId="1" applyBorder="1"/>
    <xf numFmtId="166" fontId="23" fillId="3" borderId="2" xfId="2" applyNumberFormat="1" applyFont="1" applyBorder="1" applyAlignment="1">
      <alignment horizontal="right"/>
    </xf>
    <xf numFmtId="44" fontId="26" fillId="3" borderId="2" xfId="2" applyNumberFormat="1" applyFont="1" applyBorder="1"/>
    <xf numFmtId="166" fontId="27" fillId="4" borderId="2" xfId="3" applyNumberFormat="1" applyFont="1" applyBorder="1" applyAlignment="1">
      <alignment horizontal="left"/>
    </xf>
    <xf numFmtId="166" fontId="24" fillId="4" borderId="2" xfId="3" applyNumberFormat="1" applyFont="1" applyBorder="1" applyAlignment="1">
      <alignment horizontal="left"/>
    </xf>
    <xf numFmtId="44" fontId="24" fillId="4" borderId="2" xfId="3" applyNumberFormat="1" applyFont="1" applyBorder="1"/>
    <xf numFmtId="166" fontId="26" fillId="3" borderId="2" xfId="2" applyNumberFormat="1" applyFont="1" applyBorder="1" applyAlignment="1">
      <alignment horizontal="center"/>
    </xf>
    <xf numFmtId="0" fontId="27" fillId="4" borderId="2" xfId="3" applyFont="1" applyBorder="1" applyAlignment="1">
      <alignment horizontal="center"/>
    </xf>
    <xf numFmtId="0" fontId="34" fillId="5" borderId="2" xfId="4" applyFont="1" applyBorder="1" applyAlignment="1">
      <alignment horizontal="center"/>
    </xf>
    <xf numFmtId="0" fontId="25" fillId="2" borderId="2" xfId="1" applyFont="1" applyBorder="1" applyAlignment="1">
      <alignment horizontal="center"/>
    </xf>
    <xf numFmtId="166" fontId="39" fillId="4" borderId="2" xfId="3" applyNumberFormat="1" applyFont="1" applyBorder="1" applyAlignment="1">
      <alignment horizontal="left"/>
    </xf>
    <xf numFmtId="166" fontId="41" fillId="2" borderId="2" xfId="1" applyNumberFormat="1" applyFont="1" applyBorder="1"/>
    <xf numFmtId="167" fontId="0" fillId="0" borderId="0" xfId="0" applyNumberFormat="1"/>
    <xf numFmtId="0" fontId="6" fillId="0" borderId="0" xfId="0" applyFont="1"/>
    <xf numFmtId="6" fontId="0" fillId="0" borderId="0" xfId="0" applyNumberFormat="1"/>
    <xf numFmtId="166" fontId="0" fillId="0" borderId="0" xfId="10" applyNumberFormat="1" applyFont="1"/>
    <xf numFmtId="0" fontId="0" fillId="0" borderId="2" xfId="5" applyFont="1" applyBorder="1"/>
    <xf numFmtId="166" fontId="22" fillId="2" borderId="4" xfId="1" applyNumberFormat="1" applyFont="1" applyBorder="1"/>
    <xf numFmtId="44" fontId="0" fillId="0" borderId="0" xfId="0" applyNumberFormat="1"/>
    <xf numFmtId="167" fontId="6" fillId="0" borderId="0" xfId="0" applyNumberFormat="1" applyFont="1"/>
    <xf numFmtId="166" fontId="6" fillId="0" borderId="0" xfId="0" applyNumberFormat="1" applyFont="1"/>
    <xf numFmtId="166" fontId="38" fillId="3" borderId="2" xfId="2" applyNumberFormat="1" applyFont="1" applyBorder="1"/>
    <xf numFmtId="166" fontId="39" fillId="4" borderId="2" xfId="3" applyNumberFormat="1" applyFont="1" applyBorder="1"/>
    <xf numFmtId="166" fontId="40" fillId="5" borderId="2" xfId="4" applyNumberFormat="1" applyFont="1" applyBorder="1"/>
    <xf numFmtId="166" fontId="29" fillId="3" borderId="2" xfId="2" applyNumberFormat="1" applyFont="1" applyBorder="1" applyAlignment="1">
      <alignment horizontal="center"/>
    </xf>
    <xf numFmtId="0" fontId="30" fillId="4" borderId="2" xfId="3" applyFont="1" applyBorder="1" applyAlignment="1">
      <alignment horizontal="center"/>
    </xf>
    <xf numFmtId="0" fontId="28" fillId="2" borderId="2" xfId="1" applyFont="1" applyBorder="1" applyAlignment="1">
      <alignment horizontal="center"/>
    </xf>
    <xf numFmtId="0" fontId="31" fillId="0" borderId="0" xfId="0" applyFont="1"/>
    <xf numFmtId="0" fontId="33" fillId="5" borderId="2" xfId="4" applyFont="1" applyBorder="1" applyAlignment="1">
      <alignment horizontal="center"/>
    </xf>
    <xf numFmtId="0" fontId="20" fillId="0" borderId="2" xfId="8" applyFont="1" applyBorder="1"/>
    <xf numFmtId="0" fontId="19" fillId="0" borderId="2" xfId="8" applyFont="1" applyBorder="1"/>
    <xf numFmtId="0" fontId="19" fillId="0" borderId="2" xfId="8" applyFont="1" applyFill="1" applyBorder="1"/>
    <xf numFmtId="0" fontId="21" fillId="0" borderId="2" xfId="8" applyFont="1" applyBorder="1"/>
    <xf numFmtId="0" fontId="0" fillId="0" borderId="2" xfId="0" applyBorder="1" applyAlignment="1">
      <alignment horizontal="right"/>
    </xf>
    <xf numFmtId="0" fontId="0" fillId="0" borderId="0" xfId="0"/>
    <xf numFmtId="166" fontId="23" fillId="3" borderId="4" xfId="2" applyNumberFormat="1" applyFont="1" applyBorder="1"/>
    <xf numFmtId="166" fontId="34" fillId="5" borderId="2" xfId="4" applyNumberFormat="1" applyFont="1" applyBorder="1"/>
    <xf numFmtId="44" fontId="27" fillId="4" borderId="2" xfId="3" applyNumberFormat="1" applyFont="1" applyBorder="1"/>
    <xf numFmtId="0" fontId="3" fillId="3" borderId="0" xfId="2"/>
    <xf numFmtId="0" fontId="0" fillId="0" borderId="0" xfId="0"/>
    <xf numFmtId="0" fontId="0" fillId="0" borderId="0" xfId="0"/>
    <xf numFmtId="0" fontId="0" fillId="0" borderId="0" xfId="0" applyAlignment="1">
      <alignment horizontal="center"/>
    </xf>
    <xf numFmtId="0" fontId="4" fillId="4" borderId="0" xfId="3"/>
    <xf numFmtId="0" fontId="5" fillId="5" borderId="1" xfId="4"/>
    <xf numFmtId="166" fontId="3" fillId="3" borderId="3" xfId="2" applyNumberFormat="1" applyBorder="1"/>
    <xf numFmtId="0" fontId="4" fillId="4" borderId="3" xfId="3" applyBorder="1"/>
    <xf numFmtId="0" fontId="5" fillId="5" borderId="5" xfId="4" applyBorder="1"/>
    <xf numFmtId="0" fontId="2" fillId="2" borderId="3" xfId="1" applyBorder="1"/>
    <xf numFmtId="166" fontId="38" fillId="3" borderId="2" xfId="2" applyNumberFormat="1" applyFont="1" applyBorder="1" applyAlignment="1">
      <alignment horizontal="center"/>
    </xf>
    <xf numFmtId="0" fontId="39" fillId="4" borderId="2" xfId="3" applyFont="1" applyBorder="1" applyAlignment="1">
      <alignment horizontal="center"/>
    </xf>
    <xf numFmtId="0" fontId="40" fillId="5" borderId="1" xfId="4" applyFont="1" applyAlignment="1">
      <alignment horizontal="center"/>
    </xf>
    <xf numFmtId="0" fontId="41" fillId="2" borderId="2" xfId="1" applyFont="1" applyBorder="1" applyAlignment="1">
      <alignment horizontal="center"/>
    </xf>
    <xf numFmtId="0" fontId="18" fillId="0" borderId="0" xfId="0" applyFont="1"/>
    <xf numFmtId="166" fontId="18" fillId="0" borderId="0" xfId="0" applyNumberFormat="1" applyFont="1"/>
    <xf numFmtId="0" fontId="7" fillId="0" borderId="0" xfId="0" applyFont="1" applyAlignment="1">
      <alignment horizontal="center"/>
    </xf>
    <xf numFmtId="9" fontId="0" fillId="0" borderId="0" xfId="11" applyFont="1"/>
    <xf numFmtId="166" fontId="32" fillId="5" borderId="1" xfId="4" applyNumberFormat="1" applyFont="1" applyAlignment="1">
      <alignment horizontal="center"/>
    </xf>
    <xf numFmtId="0" fontId="42" fillId="0" borderId="2" xfId="5" applyFont="1" applyBorder="1"/>
    <xf numFmtId="166" fontId="32" fillId="5" borderId="1" xfId="4" applyNumberFormat="1" applyFont="1"/>
    <xf numFmtId="0" fontId="12" fillId="0" borderId="7" xfId="5" applyFont="1" applyFill="1" applyBorder="1" applyAlignment="1">
      <alignment horizontal="left" vertical="top" wrapText="1"/>
    </xf>
    <xf numFmtId="9" fontId="0" fillId="0" borderId="0" xfId="0" applyNumberFormat="1"/>
    <xf numFmtId="0" fontId="0" fillId="0" borderId="0" xfId="0"/>
    <xf numFmtId="168" fontId="0" fillId="0" borderId="0" xfId="0" applyNumberFormat="1"/>
    <xf numFmtId="172" fontId="0" fillId="0" borderId="0" xfId="0" applyNumberFormat="1"/>
    <xf numFmtId="166" fontId="43" fillId="0" borderId="0" xfId="0" applyNumberFormat="1" applyFont="1" applyAlignment="1">
      <alignment vertical="center"/>
    </xf>
    <xf numFmtId="171" fontId="43" fillId="0" borderId="0" xfId="0" applyNumberFormat="1" applyFont="1" applyAlignment="1">
      <alignment vertical="center"/>
    </xf>
    <xf numFmtId="169" fontId="43" fillId="0" borderId="0" xfId="0" applyNumberFormat="1" applyFont="1" applyAlignment="1">
      <alignment vertical="center"/>
    </xf>
    <xf numFmtId="170" fontId="44" fillId="0" borderId="0" xfId="0" applyNumberFormat="1" applyFont="1" applyAlignment="1">
      <alignment vertical="center"/>
    </xf>
    <xf numFmtId="0" fontId="45" fillId="0" borderId="0" xfId="0" applyFont="1" applyAlignment="1">
      <alignment horizontal="center"/>
    </xf>
    <xf numFmtId="0" fontId="0" fillId="0" borderId="0" xfId="0"/>
    <xf numFmtId="0" fontId="46" fillId="0" borderId="0" xfId="0" applyFont="1"/>
    <xf numFmtId="0" fontId="17" fillId="0" borderId="0" xfId="0" applyFont="1"/>
    <xf numFmtId="166" fontId="26" fillId="3" borderId="2" xfId="2" applyNumberFormat="1" applyFont="1" applyBorder="1" applyAlignment="1">
      <alignment vertical="center"/>
    </xf>
    <xf numFmtId="166" fontId="27" fillId="4" borderId="2" xfId="3" applyNumberFormat="1" applyFont="1" applyBorder="1" applyAlignment="1">
      <alignment vertical="center"/>
    </xf>
    <xf numFmtId="166" fontId="34" fillId="5" borderId="2" xfId="4" applyNumberFormat="1" applyFont="1" applyBorder="1" applyAlignment="1">
      <alignment vertical="center"/>
    </xf>
    <xf numFmtId="166" fontId="25" fillId="2" borderId="2" xfId="1" applyNumberFormat="1" applyFont="1" applyBorder="1" applyAlignment="1">
      <alignment vertical="center"/>
    </xf>
    <xf numFmtId="166" fontId="48" fillId="0" borderId="0" xfId="0" applyNumberFormat="1" applyFont="1"/>
    <xf numFmtId="3" fontId="0" fillId="0" borderId="0" xfId="0" applyNumberFormat="1"/>
    <xf numFmtId="166" fontId="24" fillId="4" borderId="2" xfId="3" applyNumberFormat="1" applyFont="1" applyBorder="1" applyAlignment="1">
      <alignment horizontal="right"/>
    </xf>
    <xf numFmtId="166" fontId="30" fillId="4" borderId="2" xfId="3" applyNumberFormat="1" applyFont="1" applyBorder="1" applyAlignment="1">
      <alignment horizontal="right"/>
    </xf>
    <xf numFmtId="166" fontId="29" fillId="3" borderId="2" xfId="2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9" fontId="6" fillId="0" borderId="0" xfId="11" applyFont="1" applyAlignment="1">
      <alignment horizontal="center"/>
    </xf>
    <xf numFmtId="0" fontId="0" fillId="0" borderId="0" xfId="0"/>
    <xf numFmtId="173" fontId="0" fillId="0" borderId="0" xfId="0" applyNumberFormat="1"/>
    <xf numFmtId="174" fontId="0" fillId="0" borderId="0" xfId="11" applyNumberFormat="1" applyFont="1"/>
    <xf numFmtId="0" fontId="0" fillId="0" borderId="0" xfId="0"/>
    <xf numFmtId="0" fontId="0" fillId="0" borderId="0" xfId="0"/>
    <xf numFmtId="0" fontId="15" fillId="6" borderId="2" xfId="5" applyFont="1" applyFill="1" applyBorder="1"/>
    <xf numFmtId="0" fontId="11" fillId="6" borderId="2" xfId="5" applyFont="1" applyFill="1" applyBorder="1" applyAlignment="1">
      <alignment horizontal="left" vertical="top" wrapText="1"/>
    </xf>
    <xf numFmtId="166" fontId="26" fillId="3" borderId="2" xfId="2" applyNumberFormat="1" applyFont="1" applyBorder="1" applyAlignment="1">
      <alignment horizontal="left"/>
    </xf>
    <xf numFmtId="0" fontId="0" fillId="0" borderId="0" xfId="0"/>
    <xf numFmtId="166" fontId="23" fillId="3" borderId="2" xfId="2" applyNumberFormat="1" applyFont="1" applyBorder="1" applyAlignment="1">
      <alignment horizontal="left"/>
    </xf>
    <xf numFmtId="166" fontId="4" fillId="4" borderId="2" xfId="3" applyNumberFormat="1" applyBorder="1" applyAlignment="1">
      <alignment horizontal="right"/>
    </xf>
    <xf numFmtId="0" fontId="49" fillId="7" borderId="1" xfId="12"/>
    <xf numFmtId="9" fontId="49" fillId="7" borderId="1" xfId="11" applyFont="1" applyFill="1" applyBorder="1"/>
    <xf numFmtId="0" fontId="49" fillId="7" borderId="1" xfId="12" applyAlignment="1">
      <alignment horizontal="center"/>
    </xf>
    <xf numFmtId="0" fontId="50" fillId="7" borderId="1" xfId="12" applyFont="1" applyAlignment="1">
      <alignment horizontal="center"/>
    </xf>
    <xf numFmtId="0" fontId="51" fillId="7" borderId="1" xfId="12" applyFont="1" applyAlignment="1">
      <alignment horizontal="center"/>
    </xf>
    <xf numFmtId="0" fontId="11" fillId="6" borderId="2" xfId="2" applyFont="1" applyFill="1" applyBorder="1"/>
    <xf numFmtId="170" fontId="17" fillId="0" borderId="0" xfId="0" applyNumberFormat="1" applyFont="1" applyAlignment="1">
      <alignment horizontal="left"/>
    </xf>
    <xf numFmtId="0" fontId="4" fillId="4" borderId="2" xfId="3" applyNumberFormat="1" applyBorder="1"/>
    <xf numFmtId="9" fontId="49" fillId="7" borderId="1" xfId="11" applyFont="1" applyFill="1" applyBorder="1" applyAlignment="1">
      <alignment horizontal="right"/>
    </xf>
    <xf numFmtId="0" fontId="52" fillId="0" borderId="8" xfId="13"/>
    <xf numFmtId="166" fontId="52" fillId="0" borderId="8" xfId="13" applyNumberFormat="1"/>
    <xf numFmtId="0" fontId="53" fillId="0" borderId="8" xfId="13" applyFont="1"/>
    <xf numFmtId="166" fontId="53" fillId="0" borderId="8" xfId="13" applyNumberFormat="1" applyFont="1"/>
    <xf numFmtId="9" fontId="0" fillId="0" borderId="2" xfId="11" applyFont="1" applyBorder="1" applyAlignment="1">
      <alignment horizontal="right"/>
    </xf>
    <xf numFmtId="9" fontId="49" fillId="7" borderId="1" xfId="11" applyFont="1" applyFill="1" applyBorder="1" applyAlignment="1">
      <alignment horizontal="center"/>
    </xf>
    <xf numFmtId="0" fontId="0" fillId="0" borderId="0" xfId="0" applyBorder="1"/>
    <xf numFmtId="166" fontId="23" fillId="3" borderId="3" xfId="2" applyNumberFormat="1" applyFont="1" applyBorder="1"/>
    <xf numFmtId="166" fontId="24" fillId="4" borderId="3" xfId="3" applyNumberFormat="1" applyFont="1" applyBorder="1"/>
    <xf numFmtId="166" fontId="22" fillId="2" borderId="3" xfId="1" applyNumberFormat="1" applyFont="1" applyBorder="1"/>
    <xf numFmtId="9" fontId="49" fillId="7" borderId="5" xfId="11" applyFont="1" applyFill="1" applyBorder="1"/>
    <xf numFmtId="9" fontId="49" fillId="7" borderId="2" xfId="11" applyFont="1" applyFill="1" applyBorder="1"/>
    <xf numFmtId="44" fontId="0" fillId="0" borderId="0" xfId="0" applyNumberFormat="1" applyBorder="1"/>
    <xf numFmtId="0" fontId="12" fillId="0" borderId="9" xfId="5" applyFont="1" applyBorder="1" applyAlignment="1">
      <alignment horizontal="left" vertical="top" wrapText="1"/>
    </xf>
    <xf numFmtId="0" fontId="54" fillId="0" borderId="9" xfId="5" applyFont="1" applyBorder="1" applyAlignment="1">
      <alignment horizontal="center" vertical="top" wrapText="1"/>
    </xf>
    <xf numFmtId="166" fontId="45" fillId="0" borderId="0" xfId="0" applyNumberFormat="1" applyFont="1" applyAlignment="1">
      <alignment horizontal="center"/>
    </xf>
    <xf numFmtId="9" fontId="49" fillId="7" borderId="10" xfId="11" applyFont="1" applyFill="1" applyBorder="1"/>
    <xf numFmtId="2" fontId="0" fillId="0" borderId="0" xfId="11" applyNumberFormat="1" applyFont="1"/>
    <xf numFmtId="0" fontId="52" fillId="0" borderId="0" xfId="13" applyBorder="1"/>
    <xf numFmtId="166" fontId="52" fillId="0" borderId="0" xfId="13" applyNumberFormat="1" applyBorder="1"/>
    <xf numFmtId="0" fontId="55" fillId="0" borderId="8" xfId="13" applyFont="1"/>
    <xf numFmtId="166" fontId="55" fillId="0" borderId="8" xfId="13" applyNumberFormat="1" applyFont="1"/>
    <xf numFmtId="170" fontId="43" fillId="0" borderId="0" xfId="0" applyNumberFormat="1" applyFont="1" applyAlignment="1">
      <alignment vertical="center"/>
    </xf>
    <xf numFmtId="171" fontId="0" fillId="0" borderId="0" xfId="0" applyNumberFormat="1"/>
    <xf numFmtId="0" fontId="15" fillId="0" borderId="2" xfId="5" applyFont="1" applyFill="1" applyBorder="1"/>
    <xf numFmtId="9" fontId="49" fillId="7" borderId="1" xfId="12" applyNumberFormat="1" applyFont="1"/>
    <xf numFmtId="166" fontId="30" fillId="4" borderId="2" xfId="3" applyNumberFormat="1" applyFont="1" applyBorder="1" applyAlignment="1">
      <alignment horizontal="left"/>
    </xf>
    <xf numFmtId="0" fontId="16" fillId="0" borderId="0" xfId="0" applyFont="1" applyAlignment="1">
      <alignment horizontal="center"/>
    </xf>
    <xf numFmtId="0" fontId="57" fillId="0" borderId="0" xfId="0" applyFont="1" applyAlignment="1">
      <alignment horizontal="center"/>
    </xf>
    <xf numFmtId="0" fontId="58" fillId="7" borderId="1" xfId="12" applyFont="1" applyAlignment="1">
      <alignment horizontal="center"/>
    </xf>
    <xf numFmtId="9" fontId="49" fillId="7" borderId="1" xfId="12" applyNumberFormat="1"/>
    <xf numFmtId="9" fontId="5" fillId="5" borderId="2" xfId="4" applyNumberFormat="1" applyBorder="1"/>
    <xf numFmtId="9" fontId="49" fillId="7" borderId="2" xfId="11" applyFont="1" applyFill="1" applyBorder="1" applyAlignment="1">
      <alignment horizontal="center"/>
    </xf>
    <xf numFmtId="0" fontId="49" fillId="7" borderId="2" xfId="12" applyBorder="1"/>
    <xf numFmtId="9" fontId="49" fillId="7" borderId="5" xfId="11" applyFont="1" applyFill="1" applyBorder="1" applyAlignment="1">
      <alignment horizontal="center"/>
    </xf>
    <xf numFmtId="9" fontId="50" fillId="7" borderId="1" xfId="11" applyFont="1" applyFill="1" applyBorder="1" applyAlignment="1">
      <alignment horizontal="center"/>
    </xf>
    <xf numFmtId="9" fontId="49" fillId="7" borderId="10" xfId="11" applyFont="1" applyFill="1" applyBorder="1" applyAlignment="1">
      <alignment horizontal="center"/>
    </xf>
    <xf numFmtId="9" fontId="49" fillId="7" borderId="1" xfId="12" applyNumberFormat="1" applyFont="1" applyAlignment="1">
      <alignment horizontal="center"/>
    </xf>
    <xf numFmtId="0" fontId="7" fillId="0" borderId="2" xfId="5" applyFont="1" applyBorder="1"/>
    <xf numFmtId="0" fontId="21" fillId="0" borderId="2" xfId="7" applyFont="1" applyBorder="1" applyAlignment="1">
      <alignment horizontal="left" vertical="top" wrapText="1"/>
    </xf>
    <xf numFmtId="0" fontId="20" fillId="0" borderId="2" xfId="7" applyFont="1" applyBorder="1" applyAlignment="1">
      <alignment horizontal="left" vertical="top" wrapText="1"/>
    </xf>
    <xf numFmtId="0" fontId="19" fillId="0" borderId="2" xfId="7" applyFont="1" applyBorder="1" applyAlignment="1">
      <alignment horizontal="left" vertical="top" wrapText="1"/>
    </xf>
    <xf numFmtId="165" fontId="20" fillId="0" borderId="2" xfId="7" applyNumberFormat="1" applyFont="1" applyBorder="1" applyAlignment="1">
      <alignment horizontal="left" wrapText="1"/>
    </xf>
    <xf numFmtId="0" fontId="19" fillId="6" borderId="2" xfId="7" applyFont="1" applyFill="1" applyBorder="1" applyAlignment="1">
      <alignment horizontal="left" vertical="top" wrapText="1"/>
    </xf>
    <xf numFmtId="0" fontId="20" fillId="0" borderId="0" xfId="7" applyFont="1" applyBorder="1" applyAlignment="1">
      <alignment horizontal="left" vertical="top" wrapText="1"/>
    </xf>
    <xf numFmtId="0" fontId="1" fillId="0" borderId="2" xfId="0" applyFont="1" applyBorder="1"/>
    <xf numFmtId="0" fontId="1" fillId="6" borderId="2" xfId="0" applyFont="1" applyFill="1" applyBorder="1"/>
    <xf numFmtId="0" fontId="7" fillId="0" borderId="0" xfId="5" applyFont="1"/>
    <xf numFmtId="0" fontId="1" fillId="0" borderId="0" xfId="0" applyFont="1"/>
    <xf numFmtId="0" fontId="18" fillId="0" borderId="4" xfId="5" applyFont="1" applyBorder="1"/>
    <xf numFmtId="0" fontId="6" fillId="0" borderId="4" xfId="5" applyFont="1" applyBorder="1"/>
    <xf numFmtId="0" fontId="20" fillId="0" borderId="4" xfId="5" applyFont="1" applyBorder="1" applyAlignment="1">
      <alignment horizontal="left" vertical="top" wrapText="1"/>
    </xf>
    <xf numFmtId="0" fontId="18" fillId="0" borderId="4" xfId="5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164" fontId="37" fillId="0" borderId="4" xfId="6" applyFont="1" applyBorder="1" applyAlignment="1">
      <alignment horizontal="left"/>
    </xf>
    <xf numFmtId="0" fontId="60" fillId="0" borderId="2" xfId="5" applyFont="1" applyBorder="1"/>
    <xf numFmtId="0" fontId="61" fillId="0" borderId="2" xfId="5" applyFont="1" applyBorder="1"/>
    <xf numFmtId="0" fontId="62" fillId="0" borderId="2" xfId="5" applyFont="1" applyBorder="1" applyAlignment="1">
      <alignment horizontal="left" vertical="top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Fill="1" applyBorder="1" applyAlignment="1">
      <alignment horizontal="left"/>
    </xf>
    <xf numFmtId="9" fontId="50" fillId="7" borderId="2" xfId="11" applyFont="1" applyFill="1" applyBorder="1" applyAlignment="1">
      <alignment horizontal="center"/>
    </xf>
    <xf numFmtId="0" fontId="63" fillId="8" borderId="11" xfId="0" applyFont="1" applyFill="1" applyBorder="1" applyAlignment="1">
      <alignment horizontal="center" vertical="center" wrapText="1" readingOrder="1"/>
    </xf>
    <xf numFmtId="0" fontId="64" fillId="8" borderId="12" xfId="0" applyFont="1" applyFill="1" applyBorder="1" applyAlignment="1">
      <alignment horizontal="center" vertical="center" wrapText="1" readingOrder="1"/>
    </xf>
    <xf numFmtId="0" fontId="64" fillId="8" borderId="13" xfId="0" applyFont="1" applyFill="1" applyBorder="1" applyAlignment="1">
      <alignment horizontal="center" vertical="center" wrapText="1" readingOrder="1"/>
    </xf>
    <xf numFmtId="0" fontId="65" fillId="9" borderId="14" xfId="0" applyFont="1" applyFill="1" applyBorder="1" applyAlignment="1">
      <alignment horizontal="center" vertical="center" wrapText="1" readingOrder="1"/>
    </xf>
    <xf numFmtId="9" fontId="66" fillId="9" borderId="15" xfId="0" applyNumberFormat="1" applyFont="1" applyFill="1" applyBorder="1" applyAlignment="1">
      <alignment horizontal="center" vertical="center" wrapText="1" readingOrder="1"/>
    </xf>
    <xf numFmtId="9" fontId="66" fillId="9" borderId="16" xfId="0" applyNumberFormat="1" applyFont="1" applyFill="1" applyBorder="1" applyAlignment="1">
      <alignment horizontal="center" vertical="center" wrapText="1" readingOrder="1"/>
    </xf>
    <xf numFmtId="0" fontId="65" fillId="10" borderId="17" xfId="0" applyFont="1" applyFill="1" applyBorder="1" applyAlignment="1">
      <alignment horizontal="center" vertical="center" wrapText="1" readingOrder="1"/>
    </xf>
    <xf numFmtId="9" fontId="66" fillId="10" borderId="18" xfId="0" applyNumberFormat="1" applyFont="1" applyFill="1" applyBorder="1" applyAlignment="1">
      <alignment horizontal="center" vertical="center" wrapText="1" readingOrder="1"/>
    </xf>
    <xf numFmtId="9" fontId="66" fillId="10" borderId="19" xfId="0" applyNumberFormat="1" applyFont="1" applyFill="1" applyBorder="1" applyAlignment="1">
      <alignment horizontal="center" vertical="center" wrapText="1" readingOrder="1"/>
    </xf>
    <xf numFmtId="166" fontId="23" fillId="3" borderId="2" xfId="2" applyNumberFormat="1" applyFont="1" applyBorder="1" applyAlignment="1">
      <alignment horizontal="center"/>
    </xf>
    <xf numFmtId="0" fontId="24" fillId="4" borderId="2" xfId="3" applyFont="1" applyBorder="1" applyAlignment="1">
      <alignment horizontal="center"/>
    </xf>
    <xf numFmtId="0" fontId="32" fillId="5" borderId="2" xfId="4" applyFont="1" applyBorder="1" applyAlignment="1">
      <alignment horizontal="center"/>
    </xf>
    <xf numFmtId="166" fontId="22" fillId="2" borderId="2" xfId="1" applyNumberFormat="1" applyFont="1" applyBorder="1" applyAlignment="1">
      <alignment horizontal="center"/>
    </xf>
    <xf numFmtId="44" fontId="25" fillId="2" borderId="2" xfId="1" applyNumberFormat="1" applyFont="1" applyBorder="1"/>
    <xf numFmtId="166" fontId="6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6" fontId="18" fillId="0" borderId="0" xfId="0" applyNumberFormat="1" applyFont="1" applyAlignment="1">
      <alignment horizontal="center"/>
    </xf>
    <xf numFmtId="10" fontId="0" fillId="0" borderId="0" xfId="11" applyNumberFormat="1" applyFont="1"/>
    <xf numFmtId="9" fontId="6" fillId="0" borderId="0" xfId="11" applyNumberFormat="1" applyFont="1" applyAlignment="1">
      <alignment horizontal="center"/>
    </xf>
    <xf numFmtId="175" fontId="6" fillId="0" borderId="0" xfId="0" applyNumberFormat="1" applyFont="1" applyAlignment="1">
      <alignment horizontal="center"/>
    </xf>
    <xf numFmtId="1" fontId="0" fillId="0" borderId="0" xfId="0" applyNumberFormat="1"/>
    <xf numFmtId="0" fontId="59" fillId="0" borderId="0" xfId="0" applyFont="1" applyAlignment="1">
      <alignment horizontal="center"/>
    </xf>
    <xf numFmtId="0" fontId="16" fillId="0" borderId="6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47" fillId="0" borderId="0" xfId="0" applyFont="1" applyAlignment="1">
      <alignment horizontal="center"/>
    </xf>
  </cellXfs>
  <cellStyles count="14">
    <cellStyle name="Bad" xfId="2" builtinId="27"/>
    <cellStyle name="Calculation" xfId="12" builtinId="22"/>
    <cellStyle name="Currency" xfId="10" builtinId="4"/>
    <cellStyle name="Currency 2" xfId="6" xr:uid="{00000000-0005-0000-0000-000002000000}"/>
    <cellStyle name="Good" xfId="1" builtinId="26"/>
    <cellStyle name="Heading 1" xfId="13" builtinId="16"/>
    <cellStyle name="Input" xfId="4" builtinId="20"/>
    <cellStyle name="Neutral" xfId="3" builtinId="28"/>
    <cellStyle name="Normal" xfId="0" builtinId="0"/>
    <cellStyle name="Normal 2" xfId="8" xr:uid="{00000000-0005-0000-0000-000007000000}"/>
    <cellStyle name="Normal 3" xfId="7" xr:uid="{00000000-0005-0000-0000-000008000000}"/>
    <cellStyle name="Normal 4" xfId="5" xr:uid="{00000000-0005-0000-0000-000009000000}"/>
    <cellStyle name="Percent" xfId="11" builtinId="5"/>
    <cellStyle name="Percent 2" xfId="9" xr:uid="{00000000-0005-0000-0000-00000A000000}"/>
  </cellStyles>
  <dxfs count="3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border outline="0">
        <bottom style="thick">
          <color theme="4"/>
        </bottom>
      </border>
    </dxf>
    <dxf>
      <border outline="0">
        <bottom style="thick">
          <color theme="4"/>
        </bottom>
      </border>
    </dxf>
    <dxf>
      <font>
        <strike val="0"/>
        <outline val="0"/>
        <shadow val="0"/>
        <u val="none"/>
        <vertAlign val="baseline"/>
        <sz val="15"/>
        <color theme="0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numFmt numFmtId="166" formatCode="_(&quot;$&quot;* #,##0_);_(&quot;$&quot;* \(#,##0\);_(&quot;$&quot;* &quot;-&quot;??_);_(@_)"/>
    </dxf>
    <dxf>
      <font>
        <strike val="0"/>
        <outline val="0"/>
        <shadow val="0"/>
        <u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</font>
      <numFmt numFmtId="166" formatCode="_(&quot;$&quot;* #,##0_);_(&quot;$&quot;* \(#,##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family val="1"/>
        <scheme val="none"/>
      </font>
      <alignment horizontal="left" vertical="top" textRotation="0" wrapText="1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strike val="0"/>
        <outline val="0"/>
        <shadow val="0"/>
        <u val="none"/>
        <vertAlign val="baseline"/>
        <sz val="14"/>
        <name val="Calibri"/>
        <family val="2"/>
        <scheme val="minor"/>
      </font>
      <alignment horizontal="center" textRotation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singleAccounting"/>
        <vertAlign val="baseline"/>
        <sz val="14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9" formatCode="0.000000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70" formatCode="_(&quot;$&quot;* #,##0.00000_);_(&quot;$&quot;* \(#,##0.00000\);_(&quot;$&quot;* &quot;-&quot;??_);_(@_)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71" formatCode="_(&quot;$&quot;* #,##0.000000_);_(&quot;$&quot;* \(#,##0.000000\);_(&quot;$&quot;* &quot;-&quot;??_);_(@_)"/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6" formatCode="_(&quot;$&quot;* #,##0_);_(&quot;$&quot;* \(#,##0\);_(&quot;$&quot;* &quot;-&quot;??_);_(@_)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</font>
    </dxf>
    <dxf>
      <font>
        <b/>
      </font>
      <alignment horizontal="center" vertical="bottom" textRotation="0" wrapText="0" indent="0" justifyLastLine="0" shrinkToFit="0" readingOrder="0"/>
    </dxf>
    <dxf>
      <font>
        <b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numFmt numFmtId="166" formatCode="_(&quot;$&quot;* #,##0_);_(&quot;$&quot;* \(#,##0\);_(&quot;$&quot;* &quot;-&quot;??_);_(@_)"/>
    </dxf>
    <dxf>
      <font>
        <b/>
      </font>
      <numFmt numFmtId="166" formatCode="_(&quot;$&quot;* #,##0_);_(&quot;$&quot;* \(#,##0\);_(&quot;$&quot;* &quot;-&quot;??_);_(@_)"/>
    </dxf>
    <dxf>
      <border outline="0">
        <left style="thin">
          <color indexed="64"/>
        </left>
      </border>
    </dxf>
    <dxf>
      <font>
        <b/>
      </font>
    </dxf>
    <dxf>
      <border outline="0">
        <left style="thin">
          <color indexed="64"/>
        </left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General Fund Adopted Expenditures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'General Fund'!$H$36</c:f>
              <c:strCache>
                <c:ptCount val="1"/>
                <c:pt idx="0">
                  <c:v> Expenditures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'General Fund'!$G$37:$G$42</c:f>
              <c:strCache>
                <c:ptCount val="6"/>
                <c:pt idx="0">
                  <c:v>ADMINISTRATION</c:v>
                </c:pt>
                <c:pt idx="1">
                  <c:v>STREETS AND PARKS</c:v>
                </c:pt>
                <c:pt idx="2">
                  <c:v>POLICE</c:v>
                </c:pt>
                <c:pt idx="3">
                  <c:v>FIRE</c:v>
                </c:pt>
                <c:pt idx="4">
                  <c:v>LIBRARY</c:v>
                </c:pt>
                <c:pt idx="5">
                  <c:v>COURT</c:v>
                </c:pt>
              </c:strCache>
            </c:strRef>
          </c:cat>
          <c:val>
            <c:numRef>
              <c:f>'General Fund'!$H$37:$H$42</c:f>
              <c:numCache>
                <c:formatCode>_("$"* #,##0_);_("$"* \(#,##0\);_("$"* "-"??_);_(@_)</c:formatCode>
                <c:ptCount val="6"/>
                <c:pt idx="0">
                  <c:v>348901.9</c:v>
                </c:pt>
                <c:pt idx="1">
                  <c:v>409613.04000000004</c:v>
                </c:pt>
                <c:pt idx="2">
                  <c:v>253950</c:v>
                </c:pt>
                <c:pt idx="3">
                  <c:v>54607</c:v>
                </c:pt>
                <c:pt idx="4">
                  <c:v>69950</c:v>
                </c:pt>
                <c:pt idx="5">
                  <c:v>53060.380000000005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C-4FC5-9BE6-9BBEC78BC8E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75571432"/>
        <c:axId val="775569464"/>
      </c:barChart>
      <c:catAx>
        <c:axId val="7755714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/>
                  <a:t>Fund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569464"/>
        <c:crosses val="autoZero"/>
        <c:auto val="1"/>
        <c:lblAlgn val="ctr"/>
        <c:lblOffset val="100"/>
        <c:noMultiLvlLbl val="0"/>
      </c:catAx>
      <c:valAx>
        <c:axId val="775569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/>
                  <a:t>$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5571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0"/>
              <a:t>General Fund Revenues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C14-4A18-AA90-3462041954E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C14-4A18-AA90-3462041954E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78C-4E5A-993E-AF6390DD93C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78C-4E5A-993E-AF6390DD93C4}"/>
              </c:ext>
            </c:extLst>
          </c:dPt>
          <c:dLbls>
            <c:dLbl>
              <c:idx val="0"/>
              <c:layout>
                <c:manualLayout>
                  <c:x val="-0.12207692163816349"/>
                  <c:y val="0.1691802034859685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C14-4A18-AA90-3462041954E5}"/>
                </c:ext>
              </c:extLst>
            </c:dLbl>
            <c:dLbl>
              <c:idx val="1"/>
              <c:layout>
                <c:manualLayout>
                  <c:x val="7.0331784971567932E-2"/>
                  <c:y val="-0.2720004950155287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14-4A18-AA90-3462041954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'General Fund'!$G$16:$G$19</c:f>
              <c:strCache>
                <c:ptCount val="4"/>
                <c:pt idx="1">
                  <c:v>Property Tax (M&amp;O)</c:v>
                </c:pt>
                <c:pt idx="2">
                  <c:v>General Sales Tax</c:v>
                </c:pt>
                <c:pt idx="3">
                  <c:v>Franchise Fees</c:v>
                </c:pt>
              </c:strCache>
            </c:strRef>
          </c:cat>
          <c:val>
            <c:numRef>
              <c:f>'General Fund'!$H$16:$H$19</c:f>
              <c:numCache>
                <c:formatCode>_("$"* #,##0_);_("$"* \(#,##0\);_("$"* "-"??_);_(@_)</c:formatCode>
                <c:ptCount val="4"/>
                <c:pt idx="1">
                  <c:v>212180</c:v>
                </c:pt>
                <c:pt idx="2">
                  <c:v>580000</c:v>
                </c:pt>
                <c:pt idx="3">
                  <c:v>73000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14-4A18-AA90-3462041954E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4531507835255699E-2"/>
          <c:y val="0.32224619240648333"/>
          <c:w val="0.23279522723539203"/>
          <c:h val="0.29684584319356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Enterprise</a:t>
            </a:r>
            <a:r>
              <a:rPr lang="en-US" b="1" baseline="0"/>
              <a:t> Revenues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33490660542432193"/>
          <c:y val="0.21829578594342375"/>
          <c:w val="0.42740901137357823"/>
          <c:h val="0.712348352289297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8F3-40E6-A178-EF43A9D4B19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8F3-40E6-A178-EF43A9D4B19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8F3-40E6-A178-EF43A9D4B192}"/>
              </c:ext>
            </c:extLst>
          </c:dPt>
          <c:dLbls>
            <c:dLbl>
              <c:idx val="0"/>
              <c:layout>
                <c:manualLayout>
                  <c:x val="-0.15506660104986877"/>
                  <c:y val="0.1184802420530767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8F3-40E6-A178-EF43A9D4B192}"/>
                </c:ext>
              </c:extLst>
            </c:dLbl>
            <c:dLbl>
              <c:idx val="1"/>
              <c:layout>
                <c:manualLayout>
                  <c:x val="-0.10194477252843395"/>
                  <c:y val="-0.1568631525226013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8F3-40E6-A178-EF43A9D4B192}"/>
                </c:ext>
              </c:extLst>
            </c:dLbl>
            <c:dLbl>
              <c:idx val="2"/>
              <c:layout>
                <c:manualLayout>
                  <c:x val="0.16777187226596676"/>
                  <c:y val="4.944225721784776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8F3-40E6-A178-EF43A9D4B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Enterprise.Proprietary!$G$14:$G$16</c:f>
              <c:strCache>
                <c:ptCount val="3"/>
                <c:pt idx="0">
                  <c:v>Water</c:v>
                </c:pt>
                <c:pt idx="1">
                  <c:v>Sewer</c:v>
                </c:pt>
                <c:pt idx="2">
                  <c:v>Sanitation</c:v>
                </c:pt>
              </c:strCache>
            </c:strRef>
          </c:cat>
          <c:val>
            <c:numRef>
              <c:f>Enterprise.Proprietary!$H$14:$H$16</c:f>
              <c:numCache>
                <c:formatCode>_("$"* #,##0_);_("$"* \(#,##0\);_("$"* "-"??_);_(@_)</c:formatCode>
                <c:ptCount val="3"/>
                <c:pt idx="0">
                  <c:v>445000</c:v>
                </c:pt>
                <c:pt idx="1">
                  <c:v>266500</c:v>
                </c:pt>
                <c:pt idx="2">
                  <c:v>654000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3-40E6-A178-EF43A9D4B19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0398075240594427E-4"/>
          <c:y val="0.37642716535433068"/>
          <c:w val="0.21485870516185476"/>
          <c:h val="0.22542468649752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51953</xdr:colOff>
      <xdr:row>44</xdr:row>
      <xdr:rowOff>138546</xdr:rowOff>
    </xdr:from>
    <xdr:to>
      <xdr:col>12</xdr:col>
      <xdr:colOff>129886</xdr:colOff>
      <xdr:row>63</xdr:row>
      <xdr:rowOff>60614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ADA9203-574C-48D4-A8DF-D50E7C35ED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6183</xdr:colOff>
      <xdr:row>13</xdr:row>
      <xdr:rowOff>20040</xdr:rowOff>
    </xdr:from>
    <xdr:to>
      <xdr:col>10</xdr:col>
      <xdr:colOff>52573</xdr:colOff>
      <xdr:row>32</xdr:row>
      <xdr:rowOff>40821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D7B776C-6E9C-4E0F-A02E-5B7BC7DDE4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86591</xdr:colOff>
      <xdr:row>19</xdr:row>
      <xdr:rowOff>181841</xdr:rowOff>
    </xdr:from>
    <xdr:to>
      <xdr:col>15</xdr:col>
      <xdr:colOff>132573</xdr:colOff>
      <xdr:row>36</xdr:row>
      <xdr:rowOff>26409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3A47466-922F-44F6-903D-945ADF2AC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26136" y="4338205"/>
          <a:ext cx="7821846" cy="3377477"/>
        </a:xfrm>
        <a:prstGeom prst="rect">
          <a:avLst/>
        </a:prstGeom>
      </xdr:spPr>
    </xdr:pic>
    <xdr:clientData/>
  </xdr:twoCellAnchor>
  <xdr:twoCellAnchor editAs="oneCell">
    <xdr:from>
      <xdr:col>6</xdr:col>
      <xdr:colOff>329046</xdr:colOff>
      <xdr:row>35</xdr:row>
      <xdr:rowOff>138545</xdr:rowOff>
    </xdr:from>
    <xdr:to>
      <xdr:col>18</xdr:col>
      <xdr:colOff>428253</xdr:colOff>
      <xdr:row>60</xdr:row>
      <xdr:rowOff>88562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884DA75-8F09-41D3-9C8F-AA74A283E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68591" y="7827818"/>
          <a:ext cx="9693480" cy="5145470"/>
        </a:xfrm>
        <a:prstGeom prst="rect">
          <a:avLst/>
        </a:prstGeom>
      </xdr:spPr>
    </xdr:pic>
    <xdr:clientData/>
  </xdr:twoCellAnchor>
  <xdr:twoCellAnchor editAs="oneCell">
    <xdr:from>
      <xdr:col>6</xdr:col>
      <xdr:colOff>129887</xdr:colOff>
      <xdr:row>65</xdr:row>
      <xdr:rowOff>95250</xdr:rowOff>
    </xdr:from>
    <xdr:to>
      <xdr:col>16</xdr:col>
      <xdr:colOff>539081</xdr:colOff>
      <xdr:row>89</xdr:row>
      <xdr:rowOff>118959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F65A9E-26E0-4694-B1DE-0D133E175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269432" y="13187795"/>
          <a:ext cx="8791194" cy="5011346"/>
        </a:xfrm>
        <a:prstGeom prst="rect">
          <a:avLst/>
        </a:prstGeom>
      </xdr:spPr>
    </xdr:pic>
    <xdr:clientData/>
  </xdr:twoCellAnchor>
  <xdr:twoCellAnchor>
    <xdr:from>
      <xdr:col>6</xdr:col>
      <xdr:colOff>32969</xdr:colOff>
      <xdr:row>6</xdr:row>
      <xdr:rowOff>130418</xdr:rowOff>
    </xdr:from>
    <xdr:to>
      <xdr:col>12</xdr:col>
      <xdr:colOff>805960</xdr:colOff>
      <xdr:row>19</xdr:row>
      <xdr:rowOff>36633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6781811-2838-43FE-9F36-872264D053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G9:H13" totalsRowShown="0" headerRowDxfId="1" tableBorderDxfId="38">
  <tableColumns count="2">
    <tableColumn id="1" xr3:uid="{00000000-0010-0000-0100-000001000000}" name="Sales Tax Calculator"/>
    <tableColumn id="2" xr3:uid="{00000000-0010-0000-0100-000002000000}" name="Levy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G5:L6" totalsRowShown="0" headerRowDxfId="0" dataDxfId="37" tableBorderDxfId="36">
  <tableColumns count="6">
    <tableColumn id="1" xr3:uid="{00000000-0010-0000-0200-000001000000}" name="Transfer To Balance" dataDxfId="35">
      <calculatedColumnFormula>(E195-E182)</calculatedColumnFormula>
    </tableColumn>
    <tableColumn id="2" xr3:uid="{5D24C3AE-562D-45F8-BDAE-DB747CDD94B6}" name="M&amp;O Revenue Cap" dataDxfId="34">
      <calculatedColumnFormula array="1">(0.25136*Table1[Net Taxable Values]/100)</calculatedColumnFormula>
    </tableColumn>
    <tableColumn id="3" xr3:uid="{06958117-4A59-4440-A664-16E08CBA725C}" name="M&amp;O Rollback - M&amp;O Effective" dataDxfId="33">
      <calculatedColumnFormula>(Table4[[#This Row],[M&amp;O Revenue Cap]]-Table4[[#This Row],[Effective M&amp;O ]])</calculatedColumnFormula>
    </tableColumn>
    <tableColumn id="4" xr3:uid="{F8865C7F-FF50-4BDC-9E8C-3D364992B9E2}" name="Effective M&amp;O " dataDxfId="32">
      <calculatedColumnFormula array="1">(Table1[Effective M&amp;O]*Table1[Net Taxable Values])/100</calculatedColumnFormula>
    </tableColumn>
    <tableColumn id="5" xr3:uid="{C14EACBA-141B-4714-A99F-B84A40E162F7}" name="Collection % Anticipated" dataDxfId="31" dataCellStyle="Percent"/>
    <tableColumn id="6" xr3:uid="{01C7C866-3A0A-4080-8060-CC1F63662D7B}" name="Actual Anticipated" dataDxfId="30">
      <calculatedColumnFormula>(Table4[[#This Row],[Effective M&amp;O ]]*Table4[[#This Row],[Collection % Anticipated]])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BA1C08-5987-404C-981B-C8747A46F6A2}" name="Table1" displayName="Table1" ref="G1:L2" totalsRowShown="0" headerRowDxfId="29" dataDxfId="28">
  <tableColumns count="6">
    <tableColumn id="1" xr3:uid="{6150B634-EDF0-4ABB-8E95-BE44AC1A984D}" name="Net Taxable Values" dataDxfId="27"/>
    <tableColumn id="2" xr3:uid="{04BFDD17-E2DF-4470-9200-E5FE2902F20B}" name="M&amp;O Rate Needed" dataDxfId="26">
      <calculatedColumnFormula>(E5/Table1[[#This Row],[Net Taxable Values]])*100*1.06</calculatedColumnFormula>
    </tableColumn>
    <tableColumn id="3" xr3:uid="{D7F0E56B-E0CD-4501-91FE-EB826C212DE2}" name="Effective M&amp;O" dataDxfId="25"/>
    <tableColumn id="4" xr3:uid="{8380FC7F-CCB3-43D1-B2BA-F973788C0FF8}" name="I&amp;S Rate " dataDxfId="24"/>
    <tableColumn id="5" xr3:uid="{38A64DE2-608B-4ABC-AD81-5A9A119DA90C}" name="Total Tax Rate" dataDxfId="23">
      <calculatedColumnFormula>(Table1[[#This Row],[Effective M&amp;O]]+Table1[[#This Row],[I&amp;S Rate ]])</calculatedColumnFormula>
    </tableColumn>
    <tableColumn id="6" xr3:uid="{DA11BC44-44E3-4B3E-86E4-63B119117382}" name="Effective Change" dataDxfId="22">
      <calculatedColumnFormula>(219020-E5)</calculatedColumnFormula>
    </tableColumn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3FF4BB1-B488-44B4-9526-334F3A452637}" name="Table7" displayName="Table7" ref="J10:K13" totalsRowShown="0" headerRowDxfId="21">
  <tableColumns count="2">
    <tableColumn id="1" xr3:uid="{407E1F02-B786-4BC9-86DB-16C219639A96}" name="Levy Estimated" dataDxfId="20"/>
    <tableColumn id="2" xr3:uid="{00B6C654-DA92-4066-B6DC-AA4EBEB0451E}" name="$">
      <calculatedColumnFormula>(Table1[Total Tax Rate]*K10)/100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795FF28-04E1-405F-BD24-8079A82F8DAA}" name="Table8" displayName="Table8" ref="G36:H42" totalsRowShown="0" headerRowDxfId="19" tableBorderDxfId="18">
  <tableColumns count="2">
    <tableColumn id="1" xr3:uid="{BAFC0065-F43D-4282-8EC0-1A8C1A0DA8CC}" name="Fund" dataDxfId="17" dataCellStyle="Normal 4"/>
    <tableColumn id="2" xr3:uid="{CF6BEA30-0C6E-463C-B2B8-97456C4416F6}" name="Expenditures" dataDxfId="16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E3711B0-D537-45F9-BC80-45ED012DBC19}" name="Table5" displayName="Table5" ref="A20:D25" totalsRowShown="0" headerRowDxfId="15">
  <tableColumns count="4">
    <tableColumn id="1" xr3:uid="{B8BD37A1-37BB-4042-9372-7D6686B98652}" name="Bond YTD Outstanding Totals"/>
    <tableColumn id="2" xr3:uid="{4AB031C2-0ABD-41BB-BFFA-3B639E58E344}" name="Principle" dataDxfId="14"/>
    <tableColumn id="3" xr3:uid="{14187699-E77F-44CF-8FA6-3E64BCABFA19}" name="Interest" dataDxfId="13"/>
    <tableColumn id="4" xr3:uid="{4EBE4221-EC85-43D3-8AA1-5A35AB4BAF15}" name="Total" dataDxfId="12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6BB7520-709C-4476-8163-21E6813E8F4A}" name="Table2" displayName="Table2" ref="A29:E36" totalsRowShown="0" headerRowDxfId="11">
  <tableColumns count="5">
    <tableColumn id="1" xr3:uid="{49E71A8F-61CE-4AD9-AA36-A79EF13ADBDE}" name="Cost Per Grant" dataDxfId="10"/>
    <tableColumn id="2" xr3:uid="{3C140C3F-983C-4290-8471-39603F4DCC6E}" name="Administrator" dataDxfId="9"/>
    <tableColumn id="3" xr3:uid="{9580FCD9-AC03-415E-9A37-CC49C0B53B8D}" name="Engineer" dataDxfId="8"/>
    <tableColumn id="4" xr3:uid="{CADFC191-C5A2-4FF9-AD36-D63AD49170F1}" name="City Match" dataDxfId="7"/>
    <tableColumn id="5" xr3:uid="{54BAEDDD-4ECA-4527-8204-FE404E5F2DCB}" name="Contractor" dataDxfId="6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A22D3C7-A7B2-4EB1-9C69-29CA725C7248}" name="Table10" displayName="Table10" ref="A39:D41" totalsRowShown="0" headerRowDxfId="5">
  <tableColumns count="4">
    <tableColumn id="1" xr3:uid="{979027BF-6D12-427E-A55B-812785F35821}" name="CIP Performance Measures "/>
    <tableColumn id="2" xr3:uid="{E3ECFE9C-166B-4D96-9F50-54CED8B43D97}" name="FY 2019-2020"/>
    <tableColumn id="3" xr3:uid="{27E3DBDD-CD3C-4E04-ACCF-2FBE67A841D9}" name="FY 2020-2021"/>
    <tableColumn id="4" xr3:uid="{E48CA283-DB66-4A17-8B35-346AB3CDF717}" name="FY 2021-2022">
      <calculatedColumnFormula>SUM(E5:E7)/E21</calculatedColumnFormula>
    </tableColumn>
  </tableColumns>
  <tableStyleInfo name="TableStyleMedium10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142A8EC-4211-41A9-B639-6F87D815D85F}" name="Table9" displayName="Table9" ref="A131:B138" totalsRowShown="0" headerRowDxfId="4" headerRowBorderDxfId="3" tableBorderDxfId="2">
  <autoFilter ref="A131:B138" xr:uid="{5AE19A15-AC8D-48F7-8B36-D511B6EF5BC2}"/>
  <tableColumns count="2">
    <tableColumn id="1" xr3:uid="{CB29E928-7661-4449-891D-63C6C67E673F}" name="Interfund Transfers"/>
    <tableColumn id="2" xr3:uid="{535B0A75-180F-4097-967D-53EAD1D270F5}" name="$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Relationship Id="rId5" Type="http://schemas.openxmlformats.org/officeDocument/2006/relationships/comments" Target="../comments1.xm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416"/>
  <sheetViews>
    <sheetView topLeftCell="G1" zoomScale="150" zoomScaleNormal="150" workbookViewId="0">
      <selection activeCell="M19" sqref="M19"/>
    </sheetView>
  </sheetViews>
  <sheetFormatPr defaultRowHeight="15" x14ac:dyDescent="0.25"/>
  <cols>
    <col min="1" max="1" width="29.85546875" customWidth="1"/>
    <col min="2" max="2" width="16.7109375" style="13" customWidth="1"/>
    <col min="3" max="3" width="16.7109375" style="11" customWidth="1"/>
    <col min="4" max="4" width="19.85546875" style="14" customWidth="1"/>
    <col min="5" max="5" width="18.7109375" style="9" customWidth="1"/>
    <col min="6" max="6" width="14.85546875" style="153" customWidth="1"/>
    <col min="7" max="7" width="26.5703125" customWidth="1"/>
    <col min="8" max="8" width="24" customWidth="1"/>
    <col min="9" max="9" width="28.5703125" customWidth="1"/>
    <col min="10" max="10" width="24.5703125" customWidth="1"/>
    <col min="11" max="11" width="23.5703125" customWidth="1"/>
    <col min="12" max="12" width="20.28515625" customWidth="1"/>
    <col min="13" max="13" width="19.7109375" customWidth="1"/>
    <col min="14" max="14" width="15.85546875" bestFit="1" customWidth="1"/>
  </cols>
  <sheetData>
    <row r="1" spans="1:13" ht="31.5" x14ac:dyDescent="0.5">
      <c r="B1" s="249" t="s">
        <v>88</v>
      </c>
      <c r="C1" s="249"/>
      <c r="D1" s="249"/>
      <c r="E1" s="249"/>
      <c r="F1" s="249"/>
      <c r="G1" s="130" t="s">
        <v>177</v>
      </c>
      <c r="H1" s="130" t="s">
        <v>178</v>
      </c>
      <c r="I1" s="130" t="s">
        <v>127</v>
      </c>
      <c r="J1" s="130" t="s">
        <v>278</v>
      </c>
      <c r="K1" s="130" t="s">
        <v>128</v>
      </c>
      <c r="L1" s="130" t="s">
        <v>212</v>
      </c>
    </row>
    <row r="2" spans="1:13" ht="25.5" customHeight="1" x14ac:dyDescent="0.3">
      <c r="A2" s="89" t="s">
        <v>139</v>
      </c>
      <c r="E2" s="62"/>
      <c r="F2" s="156"/>
      <c r="G2" s="126">
        <v>97521464</v>
      </c>
      <c r="H2" s="127">
        <f>(E5/Table1[[#This Row],[Net Taxable Values]])*100*1.06</f>
        <v>0.23062697254011694</v>
      </c>
      <c r="I2" s="187">
        <v>0.23146</v>
      </c>
      <c r="J2" s="128">
        <v>0.33585999999999999</v>
      </c>
      <c r="K2" s="129">
        <f>(Table1[[#This Row],[Effective M&amp;O]]+Table1[[#This Row],[I&amp;S Rate ]])</f>
        <v>0.56732000000000005</v>
      </c>
      <c r="L2" s="126">
        <f>(219020-E5)</f>
        <v>6840</v>
      </c>
    </row>
    <row r="3" spans="1:13" ht="21" customHeight="1" x14ac:dyDescent="0.4">
      <c r="B3" s="68" t="s">
        <v>218</v>
      </c>
      <c r="C3" s="69" t="s">
        <v>219</v>
      </c>
      <c r="D3" s="70" t="s">
        <v>220</v>
      </c>
      <c r="E3" s="88" t="s">
        <v>223</v>
      </c>
      <c r="F3" s="159" t="s">
        <v>268</v>
      </c>
      <c r="G3" s="132"/>
    </row>
    <row r="4" spans="1:13" ht="15" customHeight="1" x14ac:dyDescent="0.25">
      <c r="F4" s="156"/>
      <c r="H4" s="125"/>
      <c r="I4" s="124"/>
    </row>
    <row r="5" spans="1:13" ht="15" customHeight="1" x14ac:dyDescent="0.25">
      <c r="A5" s="31" t="s">
        <v>0</v>
      </c>
      <c r="B5" s="97">
        <v>213652</v>
      </c>
      <c r="C5" s="54">
        <v>220692</v>
      </c>
      <c r="D5" s="118">
        <v>228698</v>
      </c>
      <c r="E5" s="79">
        <v>212180</v>
      </c>
      <c r="F5" s="170">
        <f>(E5-B5)/B5</f>
        <v>-6.889708497931215E-3</v>
      </c>
      <c r="G5" s="143" t="s">
        <v>224</v>
      </c>
      <c r="H5" s="252" t="s">
        <v>185</v>
      </c>
      <c r="I5" s="143" t="s">
        <v>186</v>
      </c>
      <c r="J5" s="143" t="s">
        <v>279</v>
      </c>
      <c r="K5" s="143" t="s">
        <v>188</v>
      </c>
      <c r="L5" s="143" t="s">
        <v>206</v>
      </c>
    </row>
    <row r="6" spans="1:13" ht="15" customHeight="1" x14ac:dyDescent="0.25">
      <c r="A6" s="31" t="s">
        <v>1</v>
      </c>
      <c r="B6" s="97">
        <v>440000</v>
      </c>
      <c r="C6" s="54">
        <v>343002</v>
      </c>
      <c r="D6" s="55">
        <f>(C6/8)*12</f>
        <v>514503</v>
      </c>
      <c r="E6" s="79">
        <v>580000</v>
      </c>
      <c r="F6" s="170">
        <f>(E6-B6)/B6</f>
        <v>0.31818181818181818</v>
      </c>
      <c r="G6" s="82">
        <f>(E195-E182)</f>
        <v>-26972.680000000168</v>
      </c>
      <c r="H6" s="138" cm="1">
        <f t="array" ref="H6">(0.25136*Table1[Net Taxable Values]/100)</f>
        <v>245129.95191039998</v>
      </c>
      <c r="I6" s="82">
        <f>(Table4[[#This Row],[M&amp;O Revenue Cap]]-Table4[[#This Row],[Effective M&amp;O ]])</f>
        <v>19406.771335999976</v>
      </c>
      <c r="J6" s="82" cm="1">
        <f t="array" ref="J6">(Table1[Effective M&amp;O]*Table1[Net Taxable Values])/100</f>
        <v>225723.1805744</v>
      </c>
      <c r="K6" s="144">
        <v>0.94</v>
      </c>
      <c r="L6" s="82">
        <f>(Table4[[#This Row],[Effective M&amp;O ]]*Table4[[#This Row],[Collection % Anticipated]])</f>
        <v>212179.78973993598</v>
      </c>
    </row>
    <row r="7" spans="1:13" s="102" customFormat="1" ht="15" customHeight="1" x14ac:dyDescent="0.25">
      <c r="A7" s="31" t="s">
        <v>175</v>
      </c>
      <c r="B7" s="97">
        <v>8000</v>
      </c>
      <c r="C7" s="54">
        <v>6080</v>
      </c>
      <c r="D7" s="55">
        <v>8000</v>
      </c>
      <c r="E7" s="79">
        <v>8000</v>
      </c>
      <c r="F7" s="170">
        <f>(E7-B7)/B7</f>
        <v>0</v>
      </c>
      <c r="G7" s="82"/>
    </row>
    <row r="8" spans="1:13" s="153" customFormat="1" ht="15" customHeight="1" x14ac:dyDescent="0.25">
      <c r="A8" s="31" t="s">
        <v>245</v>
      </c>
      <c r="B8" s="97">
        <v>0</v>
      </c>
      <c r="C8" s="54">
        <v>0</v>
      </c>
      <c r="D8" s="55">
        <v>0</v>
      </c>
      <c r="E8" s="79">
        <f>(150*12)</f>
        <v>1800</v>
      </c>
      <c r="F8" s="170" t="s">
        <v>200</v>
      </c>
      <c r="G8" s="82"/>
    </row>
    <row r="9" spans="1:13" ht="15" customHeight="1" x14ac:dyDescent="0.25">
      <c r="A9" s="31" t="s">
        <v>2</v>
      </c>
      <c r="B9" s="97">
        <v>73000</v>
      </c>
      <c r="C9" s="54">
        <v>45764</v>
      </c>
      <c r="D9" s="55">
        <f>(C9/8)*12</f>
        <v>68646</v>
      </c>
      <c r="E9" s="79">
        <v>73000</v>
      </c>
      <c r="F9" s="170">
        <f>(E9-B9)/B9</f>
        <v>0</v>
      </c>
      <c r="G9" s="103" t="s">
        <v>148</v>
      </c>
      <c r="H9" s="103" t="s">
        <v>147</v>
      </c>
    </row>
    <row r="10" spans="1:13" ht="15" customHeight="1" x14ac:dyDescent="0.25">
      <c r="A10" s="31" t="s">
        <v>246</v>
      </c>
      <c r="B10" s="97">
        <v>355790</v>
      </c>
      <c r="C10" s="54">
        <v>100000</v>
      </c>
      <c r="D10" s="55">
        <v>164901</v>
      </c>
      <c r="E10" s="79">
        <f>(258505+20000)</f>
        <v>278505</v>
      </c>
      <c r="F10" s="170">
        <f t="shared" ref="F10:F69" si="0">(E10-B10)/B10</f>
        <v>-0.21722083251356136</v>
      </c>
      <c r="G10" s="75" t="s">
        <v>132</v>
      </c>
      <c r="H10" s="81">
        <f>(H12/0.875)</f>
        <v>662857.14285714284</v>
      </c>
      <c r="J10" s="116" t="s">
        <v>182</v>
      </c>
      <c r="K10" s="116" t="s">
        <v>179</v>
      </c>
    </row>
    <row r="11" spans="1:13" ht="15" customHeight="1" x14ac:dyDescent="0.25">
      <c r="A11" s="31" t="s">
        <v>3</v>
      </c>
      <c r="B11" s="97">
        <v>5000</v>
      </c>
      <c r="C11" s="54">
        <v>11950</v>
      </c>
      <c r="D11" s="55">
        <v>18000</v>
      </c>
      <c r="E11" s="79">
        <v>5000</v>
      </c>
      <c r="F11" s="170">
        <f t="shared" si="0"/>
        <v>0</v>
      </c>
      <c r="I11" s="75"/>
      <c r="J11" s="133" t="s">
        <v>180</v>
      </c>
      <c r="K11" s="58">
        <v>75000</v>
      </c>
    </row>
    <row r="12" spans="1:13" ht="15" customHeight="1" x14ac:dyDescent="0.25">
      <c r="A12" s="31" t="s">
        <v>4</v>
      </c>
      <c r="B12" s="97">
        <v>100</v>
      </c>
      <c r="C12" s="54">
        <v>150</v>
      </c>
      <c r="D12" s="55">
        <v>150</v>
      </c>
      <c r="E12" s="79">
        <v>100</v>
      </c>
      <c r="F12" s="170">
        <f t="shared" si="0"/>
        <v>0</v>
      </c>
      <c r="G12" s="75" t="s">
        <v>235</v>
      </c>
      <c r="H12" s="81">
        <f>(E6)</f>
        <v>580000</v>
      </c>
      <c r="J12" s="162" t="s">
        <v>181</v>
      </c>
      <c r="K12" s="80">
        <f>(Table1[Total Tax Rate]*K11)/100</f>
        <v>425.49</v>
      </c>
    </row>
    <row r="13" spans="1:13" ht="15" customHeight="1" x14ac:dyDescent="0.25">
      <c r="A13" s="32" t="s">
        <v>5</v>
      </c>
      <c r="B13" s="97">
        <v>5000</v>
      </c>
      <c r="C13" s="54">
        <v>5000</v>
      </c>
      <c r="D13" s="55">
        <f>(C13/8)*12</f>
        <v>7500</v>
      </c>
      <c r="E13" s="79">
        <v>5000</v>
      </c>
      <c r="F13" s="170">
        <f t="shared" si="0"/>
        <v>0</v>
      </c>
      <c r="G13" s="75" t="s">
        <v>149</v>
      </c>
      <c r="H13" s="81">
        <f>(H10*0.125)</f>
        <v>82857.142857142855</v>
      </c>
      <c r="J13" s="162" t="s">
        <v>183</v>
      </c>
      <c r="K13" s="80">
        <f>(K12/365)</f>
        <v>1.1657260273972603</v>
      </c>
      <c r="M13" s="124"/>
    </row>
    <row r="14" spans="1:13" ht="15" customHeight="1" x14ac:dyDescent="0.25">
      <c r="A14" s="31" t="s">
        <v>6</v>
      </c>
      <c r="B14" s="97">
        <v>14500</v>
      </c>
      <c r="C14" s="54">
        <v>15774</v>
      </c>
      <c r="D14" s="55">
        <v>17845</v>
      </c>
      <c r="E14" s="79">
        <v>14500</v>
      </c>
      <c r="F14" s="170">
        <f t="shared" si="0"/>
        <v>0</v>
      </c>
      <c r="J14" s="80"/>
    </row>
    <row r="15" spans="1:13" ht="15" customHeight="1" x14ac:dyDescent="0.25">
      <c r="A15" s="33" t="s">
        <v>7</v>
      </c>
      <c r="B15" s="16">
        <v>1000</v>
      </c>
      <c r="C15" s="54">
        <v>1025</v>
      </c>
      <c r="D15" s="55">
        <v>1025</v>
      </c>
      <c r="E15" s="6">
        <v>2000</v>
      </c>
      <c r="F15" s="170">
        <f t="shared" si="0"/>
        <v>1</v>
      </c>
    </row>
    <row r="16" spans="1:13" ht="15" customHeight="1" x14ac:dyDescent="0.25">
      <c r="A16" s="33" t="s">
        <v>8</v>
      </c>
      <c r="B16" s="16">
        <v>200</v>
      </c>
      <c r="C16" s="54">
        <v>200</v>
      </c>
      <c r="D16" s="55">
        <v>200</v>
      </c>
      <c r="E16" s="6">
        <v>200</v>
      </c>
      <c r="F16" s="170">
        <f t="shared" si="0"/>
        <v>0</v>
      </c>
      <c r="I16" s="74"/>
      <c r="J16" s="76"/>
    </row>
    <row r="17" spans="1:14" ht="15" customHeight="1" x14ac:dyDescent="0.25">
      <c r="A17" s="33" t="s">
        <v>9</v>
      </c>
      <c r="B17" s="16">
        <v>0</v>
      </c>
      <c r="C17" s="54">
        <v>0</v>
      </c>
      <c r="D17" s="55">
        <v>0</v>
      </c>
      <c r="E17" s="6">
        <v>0</v>
      </c>
      <c r="F17" s="170" t="s">
        <v>200</v>
      </c>
      <c r="G17" s="75" t="s">
        <v>152</v>
      </c>
      <c r="H17" s="58">
        <f>(E5)</f>
        <v>212180</v>
      </c>
      <c r="I17" s="74"/>
    </row>
    <row r="18" spans="1:14" ht="15" customHeight="1" x14ac:dyDescent="0.25">
      <c r="A18" s="33" t="s">
        <v>10</v>
      </c>
      <c r="B18" s="16">
        <v>200</v>
      </c>
      <c r="C18" s="54">
        <v>157</v>
      </c>
      <c r="D18" s="55">
        <v>200</v>
      </c>
      <c r="E18" s="6">
        <v>200</v>
      </c>
      <c r="F18" s="170">
        <f t="shared" si="0"/>
        <v>0</v>
      </c>
      <c r="G18" s="75" t="s">
        <v>153</v>
      </c>
      <c r="H18" s="58">
        <f>E6</f>
        <v>580000</v>
      </c>
      <c r="I18" s="117" t="e">
        <f>(H17/#REF!)</f>
        <v>#REF!</v>
      </c>
      <c r="M18" s="124" cm="1">
        <f t="array" ref="M18">(0.58722*Table1[Net Taxable Values])</f>
        <v>57266554.090079993</v>
      </c>
    </row>
    <row r="19" spans="1:14" ht="15" customHeight="1" x14ac:dyDescent="0.25">
      <c r="A19" s="33" t="s">
        <v>158</v>
      </c>
      <c r="B19" s="16">
        <v>800</v>
      </c>
      <c r="C19" s="54">
        <v>326</v>
      </c>
      <c r="D19" s="55">
        <v>600</v>
      </c>
      <c r="E19" s="6">
        <v>600</v>
      </c>
      <c r="F19" s="170">
        <f t="shared" si="0"/>
        <v>-0.25</v>
      </c>
      <c r="G19" s="75" t="s">
        <v>2</v>
      </c>
      <c r="H19" s="58">
        <v>73000</v>
      </c>
      <c r="I19" s="117" t="e">
        <f>(H18/#REF!)</f>
        <v>#REF!</v>
      </c>
      <c r="K19" s="58"/>
      <c r="L19" s="188"/>
      <c r="M19" s="125"/>
    </row>
    <row r="20" spans="1:14" ht="15" customHeight="1" x14ac:dyDescent="0.25">
      <c r="A20" s="33" t="s">
        <v>157</v>
      </c>
      <c r="B20" s="16">
        <v>15000</v>
      </c>
      <c r="C20" s="54">
        <v>12983</v>
      </c>
      <c r="D20" s="55">
        <f>(C20/8)*12</f>
        <v>19474.5</v>
      </c>
      <c r="E20" s="6">
        <v>18750</v>
      </c>
      <c r="F20" s="170">
        <f t="shared" si="0"/>
        <v>0.25</v>
      </c>
      <c r="G20" s="75" t="s">
        <v>154</v>
      </c>
      <c r="H20" s="58">
        <f>(D20+D21)</f>
        <v>28728.674999999999</v>
      </c>
      <c r="I20" s="117" t="e">
        <f>(H20/#REF!)</f>
        <v>#REF!</v>
      </c>
      <c r="J20" s="58"/>
      <c r="K20" s="58"/>
    </row>
    <row r="21" spans="1:14" s="101" customFormat="1" ht="15" customHeight="1" x14ac:dyDescent="0.25">
      <c r="A21" s="33" t="s">
        <v>156</v>
      </c>
      <c r="B21" s="16">
        <v>20040.489999999998</v>
      </c>
      <c r="C21" s="54">
        <f>('Court Other Detailed'!C28)</f>
        <v>6169.45</v>
      </c>
      <c r="D21" s="55">
        <f>(C21/8)*12</f>
        <v>9254.1749999999993</v>
      </c>
      <c r="E21" s="6">
        <v>9220</v>
      </c>
      <c r="F21" s="170">
        <f t="shared" si="0"/>
        <v>-0.53993140886275726</v>
      </c>
      <c r="G21" s="75"/>
      <c r="H21" s="58"/>
      <c r="J21" s="58"/>
      <c r="K21" s="58"/>
      <c r="L21"/>
    </row>
    <row r="22" spans="1:14" ht="15" customHeight="1" x14ac:dyDescent="0.25">
      <c r="A22" s="33" t="s">
        <v>20</v>
      </c>
      <c r="B22" s="16">
        <v>4000</v>
      </c>
      <c r="C22" s="54">
        <v>185</v>
      </c>
      <c r="D22" s="55">
        <v>350</v>
      </c>
      <c r="E22" s="6">
        <v>4000</v>
      </c>
      <c r="F22" s="170">
        <f t="shared" si="0"/>
        <v>0</v>
      </c>
    </row>
    <row r="23" spans="1:14" ht="15" customHeight="1" x14ac:dyDescent="0.25">
      <c r="A23" s="31" t="s">
        <v>21</v>
      </c>
      <c r="B23" s="16">
        <v>5000</v>
      </c>
      <c r="C23" s="54">
        <v>0</v>
      </c>
      <c r="D23" s="55">
        <v>0</v>
      </c>
      <c r="E23" s="6">
        <v>5000</v>
      </c>
      <c r="F23" s="170">
        <f t="shared" si="0"/>
        <v>0</v>
      </c>
      <c r="K23" s="80"/>
    </row>
    <row r="24" spans="1:14" ht="15" customHeight="1" x14ac:dyDescent="0.25">
      <c r="A24" s="2"/>
      <c r="B24" s="16"/>
      <c r="E24" s="15"/>
      <c r="F24" s="199"/>
      <c r="K24" s="125"/>
    </row>
    <row r="25" spans="1:14" ht="17.25" customHeight="1" x14ac:dyDescent="0.4">
      <c r="A25" s="34" t="s">
        <v>141</v>
      </c>
      <c r="B25" s="52">
        <f>SUM(B5:B23)</f>
        <v>1161282.49</v>
      </c>
      <c r="C25" s="60">
        <f>SUM(C5:C23)</f>
        <v>769457.45</v>
      </c>
      <c r="D25" s="59">
        <f>SUM(D5:D23)</f>
        <v>1059346.675</v>
      </c>
      <c r="E25" s="19">
        <f>SUM(E5:E23)</f>
        <v>1218055</v>
      </c>
      <c r="F25" s="227">
        <f t="shared" si="0"/>
        <v>4.888776890108798E-2</v>
      </c>
      <c r="K25" s="124"/>
      <c r="L25" s="58"/>
      <c r="M25">
        <f>SUM(M22:M23)</f>
        <v>0</v>
      </c>
      <c r="N25">
        <f>(0.58722-0.56732)</f>
        <v>1.9899999999999918E-2</v>
      </c>
    </row>
    <row r="26" spans="1:14" x14ac:dyDescent="0.25">
      <c r="A26" s="35"/>
      <c r="E26" s="15"/>
      <c r="F26" s="201"/>
      <c r="N26">
        <f>(0.23146+N25)</f>
        <v>0.25135999999999992</v>
      </c>
    </row>
    <row r="27" spans="1:14" x14ac:dyDescent="0.25">
      <c r="A27" s="35"/>
      <c r="E27" s="15"/>
      <c r="F27" s="170"/>
      <c r="L27" s="124"/>
    </row>
    <row r="28" spans="1:14" x14ac:dyDescent="0.25">
      <c r="A28" s="35"/>
      <c r="E28" s="15"/>
      <c r="F28" s="170"/>
    </row>
    <row r="29" spans="1:14" ht="19.5" customHeight="1" x14ac:dyDescent="0.25">
      <c r="A29" s="36" t="s">
        <v>22</v>
      </c>
      <c r="E29" s="15"/>
      <c r="F29" s="170"/>
    </row>
    <row r="30" spans="1:14" x14ac:dyDescent="0.25">
      <c r="A30" s="36"/>
      <c r="E30" s="15"/>
      <c r="F30" s="170"/>
    </row>
    <row r="31" spans="1:14" ht="15.75" x14ac:dyDescent="0.25">
      <c r="A31" s="223" t="s">
        <v>23</v>
      </c>
      <c r="E31" s="15"/>
      <c r="F31" s="170"/>
      <c r="M31" s="139"/>
    </row>
    <row r="32" spans="1:14" x14ac:dyDescent="0.25">
      <c r="A32" s="37"/>
      <c r="E32" s="15"/>
      <c r="F32" s="170"/>
    </row>
    <row r="33" spans="1:25" x14ac:dyDescent="0.25">
      <c r="A33" s="31" t="s">
        <v>24</v>
      </c>
      <c r="B33" s="16">
        <v>160000</v>
      </c>
      <c r="C33" s="140">
        <v>109025</v>
      </c>
      <c r="D33" s="55">
        <v>160000</v>
      </c>
      <c r="E33" s="6">
        <f>(B33*1.03)</f>
        <v>164800</v>
      </c>
      <c r="F33" s="170">
        <f>(E33-B33)/B33</f>
        <v>0.03</v>
      </c>
      <c r="G33" s="177"/>
      <c r="H33" s="153"/>
    </row>
    <row r="34" spans="1:25" x14ac:dyDescent="0.25">
      <c r="A34" s="31" t="s">
        <v>25</v>
      </c>
      <c r="B34" s="16">
        <v>1220</v>
      </c>
      <c r="C34" s="54">
        <v>1318</v>
      </c>
      <c r="D34" s="55">
        <v>1318</v>
      </c>
      <c r="E34" s="6">
        <v>1400</v>
      </c>
      <c r="F34" s="170">
        <f t="shared" ref="F34:F61" si="1">(E34-B34)/B34</f>
        <v>0.14754098360655737</v>
      </c>
      <c r="G34" s="171"/>
      <c r="H34" s="153"/>
    </row>
    <row r="35" spans="1:25" x14ac:dyDescent="0.25">
      <c r="A35" s="38" t="s">
        <v>26</v>
      </c>
      <c r="B35" s="16">
        <v>12500</v>
      </c>
      <c r="C35" s="54">
        <v>8026</v>
      </c>
      <c r="D35" s="55">
        <f>(C35/8)*12</f>
        <v>12039</v>
      </c>
      <c r="E35" s="6">
        <v>12500</v>
      </c>
      <c r="F35" s="170">
        <f t="shared" si="1"/>
        <v>0</v>
      </c>
      <c r="G35" s="171"/>
      <c r="H35" s="153"/>
    </row>
    <row r="36" spans="1:25" ht="15.75" customHeight="1" x14ac:dyDescent="0.3">
      <c r="A36" s="31" t="s">
        <v>27</v>
      </c>
      <c r="B36" s="16">
        <v>1200</v>
      </c>
      <c r="C36" s="54">
        <v>511</v>
      </c>
      <c r="D36" s="55">
        <f t="shared" ref="D36:D51" si="2">(C36/8)*12</f>
        <v>766.5</v>
      </c>
      <c r="E36" s="6">
        <v>950</v>
      </c>
      <c r="F36" s="170">
        <f t="shared" si="1"/>
        <v>-0.20833333333333334</v>
      </c>
      <c r="G36" s="179" t="s">
        <v>207</v>
      </c>
      <c r="H36" s="180" t="s">
        <v>100</v>
      </c>
      <c r="I36" s="182"/>
    </row>
    <row r="37" spans="1:25" x14ac:dyDescent="0.25">
      <c r="A37" s="31" t="s">
        <v>28</v>
      </c>
      <c r="B37" s="16">
        <v>20730</v>
      </c>
      <c r="C37" s="54">
        <f>(691*2.5)*8</f>
        <v>13820</v>
      </c>
      <c r="D37" s="55">
        <f t="shared" si="2"/>
        <v>20730</v>
      </c>
      <c r="E37" s="6">
        <f>(D37*1.03)</f>
        <v>21351.9</v>
      </c>
      <c r="F37" s="170">
        <f t="shared" si="1"/>
        <v>3.0000000000000072E-2</v>
      </c>
      <c r="G37" s="178" t="s">
        <v>91</v>
      </c>
      <c r="H37" s="82">
        <f>E63</f>
        <v>348901.9</v>
      </c>
      <c r="I37" s="117"/>
    </row>
    <row r="38" spans="1:25" x14ac:dyDescent="0.25">
      <c r="A38" s="189" t="s">
        <v>29</v>
      </c>
      <c r="B38" s="16">
        <v>4500</v>
      </c>
      <c r="C38" s="54">
        <v>2543</v>
      </c>
      <c r="D38" s="55">
        <f t="shared" si="2"/>
        <v>3814.5</v>
      </c>
      <c r="E38" s="6">
        <v>4000</v>
      </c>
      <c r="F38" s="202">
        <f t="shared" si="1"/>
        <v>-0.1111111111111111</v>
      </c>
      <c r="G38" s="178" t="s">
        <v>142</v>
      </c>
      <c r="H38" s="82">
        <f>E94</f>
        <v>409613.04000000004</v>
      </c>
      <c r="I38" s="117"/>
    </row>
    <row r="39" spans="1:25" x14ac:dyDescent="0.25">
      <c r="A39" s="31" t="s">
        <v>30</v>
      </c>
      <c r="B39" s="16">
        <v>2100</v>
      </c>
      <c r="C39" s="54">
        <v>1626</v>
      </c>
      <c r="D39" s="55">
        <f t="shared" si="2"/>
        <v>2439</v>
      </c>
      <c r="E39" s="6">
        <v>2600</v>
      </c>
      <c r="F39" s="170">
        <f t="shared" si="1"/>
        <v>0.23809523809523808</v>
      </c>
      <c r="G39" s="178" t="s">
        <v>93</v>
      </c>
      <c r="H39" s="82">
        <f>E122</f>
        <v>253950</v>
      </c>
      <c r="I39" s="117"/>
      <c r="M39" s="146"/>
    </row>
    <row r="40" spans="1:25" x14ac:dyDescent="0.25">
      <c r="A40" s="31" t="s">
        <v>31</v>
      </c>
      <c r="B40" s="16">
        <v>2000</v>
      </c>
      <c r="C40" s="54">
        <v>0</v>
      </c>
      <c r="D40" s="55">
        <f t="shared" si="2"/>
        <v>0</v>
      </c>
      <c r="E40" s="6">
        <v>2000</v>
      </c>
      <c r="F40" s="170">
        <f t="shared" si="1"/>
        <v>0</v>
      </c>
      <c r="G40" s="178" t="s">
        <v>92</v>
      </c>
      <c r="H40" s="82">
        <f>E115</f>
        <v>54607</v>
      </c>
      <c r="I40" s="117"/>
    </row>
    <row r="41" spans="1:25" x14ac:dyDescent="0.25">
      <c r="A41" s="31" t="s">
        <v>32</v>
      </c>
      <c r="B41" s="16">
        <v>5000</v>
      </c>
      <c r="C41" s="54">
        <v>2049</v>
      </c>
      <c r="D41" s="55">
        <f t="shared" si="2"/>
        <v>3073.5</v>
      </c>
      <c r="E41" s="6">
        <v>4500</v>
      </c>
      <c r="F41" s="170">
        <f t="shared" si="1"/>
        <v>-0.1</v>
      </c>
      <c r="G41" s="178" t="s">
        <v>94</v>
      </c>
      <c r="H41" s="82">
        <f>E155</f>
        <v>69950</v>
      </c>
      <c r="I41" s="117"/>
    </row>
    <row r="42" spans="1:25" x14ac:dyDescent="0.25">
      <c r="A42" s="31" t="s">
        <v>33</v>
      </c>
      <c r="B42" s="16">
        <v>18000</v>
      </c>
      <c r="C42" s="54">
        <v>10079</v>
      </c>
      <c r="D42" s="55">
        <f t="shared" si="2"/>
        <v>15118.5</v>
      </c>
      <c r="E42" s="6">
        <v>20000</v>
      </c>
      <c r="F42" s="170">
        <f t="shared" si="1"/>
        <v>0.1111111111111111</v>
      </c>
      <c r="G42" s="178" t="s">
        <v>95</v>
      </c>
      <c r="H42" s="82">
        <f>E177</f>
        <v>53060.380000000005</v>
      </c>
      <c r="I42" s="96"/>
    </row>
    <row r="43" spans="1:25" s="100" customFormat="1" x14ac:dyDescent="0.25">
      <c r="A43" s="161" t="s">
        <v>34</v>
      </c>
      <c r="B43" s="16">
        <v>17500</v>
      </c>
      <c r="C43" s="54">
        <v>17030</v>
      </c>
      <c r="D43" s="55">
        <v>17030</v>
      </c>
      <c r="E43" s="6">
        <v>17500</v>
      </c>
      <c r="F43" s="170">
        <f t="shared" si="1"/>
        <v>0</v>
      </c>
      <c r="G43" s="121"/>
      <c r="H43" s="58"/>
      <c r="I43" s="122"/>
      <c r="J43" s="96"/>
      <c r="K43"/>
      <c r="L43"/>
      <c r="M43" s="96"/>
      <c r="N43" s="96"/>
      <c r="O43" s="96"/>
      <c r="P43" s="96"/>
      <c r="Q43" s="96"/>
      <c r="R43" s="96"/>
      <c r="S43" s="131"/>
      <c r="T43" s="131"/>
      <c r="U43" s="131"/>
      <c r="V43" s="131"/>
      <c r="W43" s="131"/>
      <c r="X43" s="131"/>
      <c r="Y43" s="131"/>
    </row>
    <row r="44" spans="1:25" s="100" customFormat="1" x14ac:dyDescent="0.25">
      <c r="A44" s="161" t="s">
        <v>35</v>
      </c>
      <c r="B44" s="16">
        <v>8500</v>
      </c>
      <c r="C44" s="54">
        <v>10965</v>
      </c>
      <c r="D44" s="55">
        <v>10965</v>
      </c>
      <c r="E44" s="6">
        <v>11000</v>
      </c>
      <c r="F44" s="170">
        <f t="shared" si="1"/>
        <v>0.29411764705882354</v>
      </c>
      <c r="G44" s="80"/>
      <c r="H44"/>
      <c r="I44"/>
      <c r="J44" s="96"/>
      <c r="K44" s="96"/>
      <c r="L44" s="96"/>
      <c r="M44" s="96"/>
      <c r="N44" s="96"/>
      <c r="O44" s="96"/>
      <c r="P44" s="96"/>
      <c r="Q44" s="96"/>
      <c r="R44" s="96"/>
      <c r="S44" s="131"/>
      <c r="T44" s="131"/>
      <c r="U44" s="131"/>
      <c r="V44" s="131"/>
      <c r="W44" s="131"/>
      <c r="X44" s="131"/>
      <c r="Y44" s="131"/>
    </row>
    <row r="45" spans="1:25" x14ac:dyDescent="0.25">
      <c r="A45" s="31" t="s">
        <v>36</v>
      </c>
      <c r="B45" s="16">
        <v>400</v>
      </c>
      <c r="C45" s="54">
        <v>195</v>
      </c>
      <c r="D45" s="55">
        <f t="shared" si="2"/>
        <v>292.5</v>
      </c>
      <c r="E45" s="6">
        <v>400</v>
      </c>
      <c r="F45" s="170">
        <f t="shared" si="1"/>
        <v>0</v>
      </c>
      <c r="K45" s="96"/>
      <c r="L45" s="96"/>
    </row>
    <row r="46" spans="1:25" x14ac:dyDescent="0.25">
      <c r="A46" s="31" t="s">
        <v>37</v>
      </c>
      <c r="B46" s="16">
        <v>16000</v>
      </c>
      <c r="C46" s="54">
        <v>13042</v>
      </c>
      <c r="D46" s="55">
        <f t="shared" si="2"/>
        <v>19563</v>
      </c>
      <c r="E46" s="6">
        <v>20000</v>
      </c>
      <c r="F46" s="170">
        <f t="shared" si="1"/>
        <v>0.25</v>
      </c>
      <c r="H46" s="80"/>
    </row>
    <row r="47" spans="1:25" x14ac:dyDescent="0.25">
      <c r="A47" s="31" t="s">
        <v>176</v>
      </c>
      <c r="B47" s="16">
        <v>8000</v>
      </c>
      <c r="C47" s="54">
        <v>2794</v>
      </c>
      <c r="D47" s="55">
        <f t="shared" si="2"/>
        <v>4191</v>
      </c>
      <c r="E47" s="6">
        <v>8000</v>
      </c>
      <c r="F47" s="170">
        <f t="shared" si="1"/>
        <v>0</v>
      </c>
      <c r="H47" s="80"/>
    </row>
    <row r="48" spans="1:25" x14ac:dyDescent="0.25">
      <c r="A48" s="31" t="s">
        <v>38</v>
      </c>
      <c r="B48" s="16">
        <v>2100</v>
      </c>
      <c r="C48" s="54">
        <v>1515</v>
      </c>
      <c r="D48" s="55">
        <f t="shared" si="2"/>
        <v>2272.5</v>
      </c>
      <c r="E48" s="6">
        <v>1700</v>
      </c>
      <c r="F48" s="170">
        <f t="shared" si="1"/>
        <v>-0.19047619047619047</v>
      </c>
    </row>
    <row r="49" spans="1:9" x14ac:dyDescent="0.25">
      <c r="A49" s="31" t="s">
        <v>39</v>
      </c>
      <c r="B49" s="16">
        <v>12000</v>
      </c>
      <c r="C49" s="54">
        <v>6504</v>
      </c>
      <c r="D49" s="55">
        <f t="shared" si="2"/>
        <v>9756</v>
      </c>
      <c r="E49" s="6">
        <v>10000</v>
      </c>
      <c r="F49" s="170">
        <f t="shared" si="1"/>
        <v>-0.16666666666666666</v>
      </c>
    </row>
    <row r="50" spans="1:9" x14ac:dyDescent="0.25">
      <c r="A50" s="31" t="s">
        <v>40</v>
      </c>
      <c r="B50" s="16">
        <v>1000</v>
      </c>
      <c r="C50" s="54">
        <v>576</v>
      </c>
      <c r="D50" s="55">
        <f t="shared" si="2"/>
        <v>864</v>
      </c>
      <c r="E50" s="6">
        <v>1000</v>
      </c>
      <c r="F50" s="170">
        <f t="shared" si="1"/>
        <v>0</v>
      </c>
    </row>
    <row r="51" spans="1:9" x14ac:dyDescent="0.25">
      <c r="A51" s="31" t="s">
        <v>41</v>
      </c>
      <c r="B51" s="16">
        <v>2500</v>
      </c>
      <c r="C51" s="54">
        <v>2667</v>
      </c>
      <c r="D51" s="55">
        <f t="shared" si="2"/>
        <v>4000.5</v>
      </c>
      <c r="E51" s="6">
        <v>3500</v>
      </c>
      <c r="F51" s="170">
        <f t="shared" si="1"/>
        <v>0.4</v>
      </c>
    </row>
    <row r="52" spans="1:9" x14ac:dyDescent="0.25">
      <c r="A52" s="150" t="s">
        <v>42</v>
      </c>
      <c r="B52" s="16">
        <v>12000</v>
      </c>
      <c r="C52" s="54">
        <v>5462</v>
      </c>
      <c r="D52" s="120">
        <f>(C52/8)*12</f>
        <v>8193</v>
      </c>
      <c r="E52" s="6">
        <v>8800</v>
      </c>
      <c r="F52" s="170">
        <f t="shared" si="1"/>
        <v>-0.26666666666666666</v>
      </c>
    </row>
    <row r="53" spans="1:9" x14ac:dyDescent="0.25">
      <c r="A53" s="31" t="s">
        <v>59</v>
      </c>
      <c r="B53" s="16">
        <v>10000</v>
      </c>
      <c r="C53" s="54">
        <v>4373</v>
      </c>
      <c r="D53" s="55">
        <f>(C53/8)*12</f>
        <v>6559.5</v>
      </c>
      <c r="E53" s="6">
        <v>8500</v>
      </c>
      <c r="F53" s="170">
        <f t="shared" si="1"/>
        <v>-0.15</v>
      </c>
      <c r="H53" s="80"/>
    </row>
    <row r="54" spans="1:9" x14ac:dyDescent="0.25">
      <c r="A54" s="31" t="s">
        <v>44</v>
      </c>
      <c r="B54" s="16">
        <v>600</v>
      </c>
      <c r="C54" s="54">
        <v>367</v>
      </c>
      <c r="D54" s="55">
        <f t="shared" ref="D54:D58" si="3">(C54/8)*12</f>
        <v>550.5</v>
      </c>
      <c r="E54" s="6">
        <v>600</v>
      </c>
      <c r="F54" s="170">
        <f t="shared" si="1"/>
        <v>0</v>
      </c>
    </row>
    <row r="55" spans="1:9" x14ac:dyDescent="0.25">
      <c r="A55" s="31" t="s">
        <v>45</v>
      </c>
      <c r="B55" s="16">
        <v>800</v>
      </c>
      <c r="C55" s="54">
        <v>298</v>
      </c>
      <c r="D55" s="55">
        <f t="shared" si="3"/>
        <v>447</v>
      </c>
      <c r="E55" s="6">
        <v>800</v>
      </c>
      <c r="F55" s="170">
        <f t="shared" si="1"/>
        <v>0</v>
      </c>
    </row>
    <row r="56" spans="1:9" x14ac:dyDescent="0.25">
      <c r="A56" s="31" t="s">
        <v>46</v>
      </c>
      <c r="B56" s="16">
        <v>5000</v>
      </c>
      <c r="C56" s="54">
        <v>1764</v>
      </c>
      <c r="D56" s="55">
        <f t="shared" si="3"/>
        <v>2646</v>
      </c>
      <c r="E56" s="6">
        <v>5000</v>
      </c>
      <c r="F56" s="170">
        <f t="shared" si="1"/>
        <v>0</v>
      </c>
    </row>
    <row r="57" spans="1:9" x14ac:dyDescent="0.25">
      <c r="A57" s="31" t="s">
        <v>47</v>
      </c>
      <c r="B57" s="16">
        <v>2000</v>
      </c>
      <c r="C57" s="54">
        <v>1845</v>
      </c>
      <c r="D57" s="55">
        <f t="shared" si="3"/>
        <v>2767.5</v>
      </c>
      <c r="E57" s="6">
        <v>5000</v>
      </c>
      <c r="F57" s="170">
        <f t="shared" si="1"/>
        <v>1.5</v>
      </c>
    </row>
    <row r="58" spans="1:9" x14ac:dyDescent="0.25">
      <c r="A58" s="31" t="s">
        <v>48</v>
      </c>
      <c r="B58" s="16">
        <v>1000</v>
      </c>
      <c r="C58" s="54">
        <v>736</v>
      </c>
      <c r="D58" s="55">
        <f t="shared" si="3"/>
        <v>1104</v>
      </c>
      <c r="E58" s="6">
        <v>1200</v>
      </c>
      <c r="F58" s="170">
        <f t="shared" si="1"/>
        <v>0.2</v>
      </c>
    </row>
    <row r="59" spans="1:9" x14ac:dyDescent="0.25">
      <c r="A59" s="31" t="s">
        <v>50</v>
      </c>
      <c r="B59" s="16">
        <v>150</v>
      </c>
      <c r="C59" s="54">
        <v>25</v>
      </c>
      <c r="D59" s="55">
        <v>150</v>
      </c>
      <c r="E59" s="6">
        <v>300</v>
      </c>
      <c r="F59" s="170">
        <f t="shared" si="1"/>
        <v>1</v>
      </c>
      <c r="G59" s="80"/>
      <c r="I59" s="58"/>
    </row>
    <row r="60" spans="1:9" x14ac:dyDescent="0.25">
      <c r="A60" s="31" t="s">
        <v>51</v>
      </c>
      <c r="B60" s="16">
        <v>7000</v>
      </c>
      <c r="C60" s="54">
        <v>9398</v>
      </c>
      <c r="D60" s="55">
        <v>12500</v>
      </c>
      <c r="E60" s="6">
        <v>10000</v>
      </c>
      <c r="F60" s="170">
        <f t="shared" si="1"/>
        <v>0.42857142857142855</v>
      </c>
      <c r="I60" s="58"/>
    </row>
    <row r="61" spans="1:9" x14ac:dyDescent="0.25">
      <c r="A61" s="31" t="s">
        <v>20</v>
      </c>
      <c r="B61" s="16">
        <v>1500</v>
      </c>
      <c r="C61" s="54">
        <v>567</v>
      </c>
      <c r="D61" s="55">
        <v>1500</v>
      </c>
      <c r="E61" s="6">
        <v>1500</v>
      </c>
      <c r="F61" s="170">
        <f t="shared" si="1"/>
        <v>0</v>
      </c>
      <c r="I61" s="58"/>
    </row>
    <row r="62" spans="1:9" ht="15.75" x14ac:dyDescent="0.25">
      <c r="A62" s="2"/>
      <c r="B62" s="16"/>
      <c r="C62" s="51"/>
      <c r="D62" s="61"/>
      <c r="E62" s="15"/>
      <c r="F62" s="170"/>
      <c r="H62" s="124"/>
      <c r="I62" s="58"/>
    </row>
    <row r="63" spans="1:9" ht="17.25" x14ac:dyDescent="0.4">
      <c r="A63" s="39" t="s">
        <v>52</v>
      </c>
      <c r="B63" s="52">
        <f>SUM(B33:B61)</f>
        <v>335300</v>
      </c>
      <c r="C63" s="60">
        <f>SUM(C33:C61)</f>
        <v>229120</v>
      </c>
      <c r="D63" s="59">
        <f>SUM(D33:D61)</f>
        <v>324651</v>
      </c>
      <c r="E63" s="19">
        <f>SUM(E33:E61)</f>
        <v>348901.9</v>
      </c>
      <c r="F63" s="200">
        <f t="shared" si="0"/>
        <v>4.0566358484938933E-2</v>
      </c>
    </row>
    <row r="64" spans="1:9" ht="15.75" x14ac:dyDescent="0.25">
      <c r="A64" s="2"/>
      <c r="E64" s="15"/>
      <c r="F64" s="170"/>
    </row>
    <row r="65" spans="1:13" ht="15.75" x14ac:dyDescent="0.25">
      <c r="A65" s="222" t="s">
        <v>53</v>
      </c>
      <c r="E65" s="15"/>
      <c r="F65" s="170"/>
    </row>
    <row r="66" spans="1:13" x14ac:dyDescent="0.25">
      <c r="A66" s="40"/>
      <c r="E66" s="15"/>
      <c r="F66" s="170"/>
      <c r="G66" s="80"/>
      <c r="L66" s="117"/>
      <c r="M66" s="117"/>
    </row>
    <row r="67" spans="1:13" x14ac:dyDescent="0.25">
      <c r="A67" s="41" t="s">
        <v>24</v>
      </c>
      <c r="B67" s="16">
        <v>152337</v>
      </c>
      <c r="C67" s="54">
        <v>104382</v>
      </c>
      <c r="D67" s="55">
        <f>(C67/8)*12</f>
        <v>156573</v>
      </c>
      <c r="E67" s="6">
        <v>158000</v>
      </c>
      <c r="F67" s="170">
        <f t="shared" si="0"/>
        <v>3.717415992175243E-2</v>
      </c>
      <c r="G67" s="58"/>
      <c r="L67" s="117"/>
      <c r="M67" s="147"/>
    </row>
    <row r="68" spans="1:13" x14ac:dyDescent="0.25">
      <c r="A68" s="41" t="s">
        <v>25</v>
      </c>
      <c r="B68" s="16">
        <v>3450</v>
      </c>
      <c r="C68" s="54">
        <v>3388</v>
      </c>
      <c r="D68" s="55">
        <v>3388</v>
      </c>
      <c r="E68" s="6">
        <v>3450</v>
      </c>
      <c r="F68" s="170">
        <f t="shared" si="0"/>
        <v>0</v>
      </c>
      <c r="G68" s="80"/>
      <c r="L68" s="117"/>
      <c r="M68" s="147"/>
    </row>
    <row r="69" spans="1:13" ht="15" customHeight="1" x14ac:dyDescent="0.25">
      <c r="A69" s="41" t="s">
        <v>26</v>
      </c>
      <c r="B69" s="16">
        <v>12000</v>
      </c>
      <c r="C69" s="54">
        <v>8245</v>
      </c>
      <c r="D69" s="55">
        <f>(C69/8)*12</f>
        <v>12367.5</v>
      </c>
      <c r="E69" s="6">
        <v>12500</v>
      </c>
      <c r="F69" s="170">
        <f t="shared" si="0"/>
        <v>4.1666666666666664E-2</v>
      </c>
      <c r="G69" s="80"/>
    </row>
    <row r="70" spans="1:13" x14ac:dyDescent="0.25">
      <c r="A70" s="41" t="s">
        <v>27</v>
      </c>
      <c r="B70" s="16">
        <v>1100</v>
      </c>
      <c r="C70" s="54">
        <v>576</v>
      </c>
      <c r="D70" s="55">
        <f t="shared" ref="D70:D92" si="4">(C70/8)*12</f>
        <v>864</v>
      </c>
      <c r="E70" s="6">
        <v>950</v>
      </c>
      <c r="F70" s="170">
        <f t="shared" ref="F70:F131" si="5">(E70-B70)/B70</f>
        <v>-0.13636363636363635</v>
      </c>
      <c r="G70" s="80"/>
    </row>
    <row r="71" spans="1:13" x14ac:dyDescent="0.25">
      <c r="A71" s="41" t="s">
        <v>28</v>
      </c>
      <c r="B71" s="16">
        <v>33168</v>
      </c>
      <c r="C71" s="54">
        <f>(691*4)*8</f>
        <v>22112</v>
      </c>
      <c r="D71" s="55">
        <f t="shared" si="4"/>
        <v>33168</v>
      </c>
      <c r="E71" s="6">
        <f>(B71*1.03)</f>
        <v>34163.040000000001</v>
      </c>
      <c r="F71" s="170">
        <f t="shared" si="5"/>
        <v>3.0000000000000027E-2</v>
      </c>
      <c r="G71" s="80"/>
    </row>
    <row r="72" spans="1:13" x14ac:dyDescent="0.25">
      <c r="A72" s="41" t="s">
        <v>54</v>
      </c>
      <c r="B72" s="16">
        <v>6000</v>
      </c>
      <c r="C72" s="54">
        <v>3576</v>
      </c>
      <c r="D72" s="55">
        <f t="shared" si="4"/>
        <v>5364</v>
      </c>
      <c r="E72" s="6">
        <v>6000</v>
      </c>
      <c r="F72" s="170">
        <f t="shared" si="5"/>
        <v>0</v>
      </c>
      <c r="G72" s="80"/>
    </row>
    <row r="73" spans="1:13" x14ac:dyDescent="0.25">
      <c r="A73" s="41" t="s">
        <v>30</v>
      </c>
      <c r="B73" s="16">
        <v>3000</v>
      </c>
      <c r="C73" s="54">
        <v>1806</v>
      </c>
      <c r="D73" s="55">
        <f t="shared" si="4"/>
        <v>2709</v>
      </c>
      <c r="E73" s="6">
        <v>3000</v>
      </c>
      <c r="F73" s="170">
        <f t="shared" si="5"/>
        <v>0</v>
      </c>
      <c r="G73" s="80"/>
    </row>
    <row r="74" spans="1:13" x14ac:dyDescent="0.25">
      <c r="A74" s="41" t="s">
        <v>55</v>
      </c>
      <c r="B74" s="16">
        <v>4000</v>
      </c>
      <c r="C74" s="54">
        <v>622</v>
      </c>
      <c r="D74" s="55">
        <f t="shared" si="4"/>
        <v>933</v>
      </c>
      <c r="E74" s="6">
        <v>4000</v>
      </c>
      <c r="F74" s="170">
        <f t="shared" si="5"/>
        <v>0</v>
      </c>
      <c r="G74" s="80"/>
    </row>
    <row r="75" spans="1:13" x14ac:dyDescent="0.25">
      <c r="A75" s="41" t="s">
        <v>31</v>
      </c>
      <c r="B75" s="16">
        <v>1200</v>
      </c>
      <c r="C75" s="54"/>
      <c r="D75" s="55">
        <f t="shared" si="4"/>
        <v>0</v>
      </c>
      <c r="E75" s="6">
        <v>1200</v>
      </c>
      <c r="F75" s="170">
        <f t="shared" si="5"/>
        <v>0</v>
      </c>
      <c r="G75" s="80"/>
    </row>
    <row r="76" spans="1:13" x14ac:dyDescent="0.25">
      <c r="A76" s="41" t="s">
        <v>36</v>
      </c>
      <c r="B76" s="16">
        <v>1000</v>
      </c>
      <c r="C76" s="54">
        <v>700</v>
      </c>
      <c r="D76" s="55">
        <f t="shared" si="4"/>
        <v>1050</v>
      </c>
      <c r="E76" s="6">
        <v>1100</v>
      </c>
      <c r="F76" s="170">
        <f t="shared" si="5"/>
        <v>0.1</v>
      </c>
      <c r="G76" s="80"/>
    </row>
    <row r="77" spans="1:13" x14ac:dyDescent="0.25">
      <c r="A77" s="41" t="s">
        <v>56</v>
      </c>
      <c r="B77" s="16">
        <v>5000</v>
      </c>
      <c r="C77" s="54">
        <v>0</v>
      </c>
      <c r="D77" s="55">
        <f t="shared" si="4"/>
        <v>0</v>
      </c>
      <c r="E77" s="6">
        <v>5000</v>
      </c>
      <c r="F77" s="170">
        <f t="shared" si="5"/>
        <v>0</v>
      </c>
      <c r="G77" s="80"/>
    </row>
    <row r="78" spans="1:13" x14ac:dyDescent="0.25">
      <c r="A78" s="41" t="s">
        <v>57</v>
      </c>
      <c r="B78" s="16">
        <v>2500</v>
      </c>
      <c r="C78" s="54">
        <v>0</v>
      </c>
      <c r="D78" s="55">
        <f t="shared" si="4"/>
        <v>0</v>
      </c>
      <c r="E78" s="6">
        <v>2500</v>
      </c>
      <c r="F78" s="170">
        <f t="shared" si="5"/>
        <v>0</v>
      </c>
      <c r="G78" s="80"/>
    </row>
    <row r="79" spans="1:13" x14ac:dyDescent="0.25">
      <c r="A79" s="41" t="s">
        <v>39</v>
      </c>
      <c r="B79" s="16">
        <v>100</v>
      </c>
      <c r="C79" s="54">
        <v>0</v>
      </c>
      <c r="D79" s="55">
        <f t="shared" si="4"/>
        <v>0</v>
      </c>
      <c r="E79" s="6">
        <v>100</v>
      </c>
      <c r="F79" s="170">
        <f t="shared" si="5"/>
        <v>0</v>
      </c>
      <c r="G79" s="80"/>
    </row>
    <row r="80" spans="1:13" x14ac:dyDescent="0.25">
      <c r="A80" s="41" t="s">
        <v>58</v>
      </c>
      <c r="B80" s="16">
        <v>800</v>
      </c>
      <c r="C80" s="54">
        <v>792</v>
      </c>
      <c r="D80" s="55">
        <f t="shared" si="4"/>
        <v>1188</v>
      </c>
      <c r="E80" s="6">
        <v>1500</v>
      </c>
      <c r="F80" s="170">
        <f t="shared" si="5"/>
        <v>0.875</v>
      </c>
      <c r="G80" s="80"/>
    </row>
    <row r="81" spans="1:8" x14ac:dyDescent="0.25">
      <c r="A81" s="151" t="s">
        <v>59</v>
      </c>
      <c r="B81" s="16">
        <v>65000</v>
      </c>
      <c r="C81" s="54">
        <v>40870</v>
      </c>
      <c r="D81" s="55">
        <f t="shared" si="4"/>
        <v>61305</v>
      </c>
      <c r="E81" s="6">
        <v>65000</v>
      </c>
      <c r="F81" s="170">
        <f t="shared" si="5"/>
        <v>0</v>
      </c>
      <c r="G81" s="80"/>
    </row>
    <row r="82" spans="1:8" x14ac:dyDescent="0.25">
      <c r="A82" s="41" t="s">
        <v>60</v>
      </c>
      <c r="B82" s="16">
        <v>7000</v>
      </c>
      <c r="C82" s="54">
        <v>4154</v>
      </c>
      <c r="D82" s="55">
        <f t="shared" si="4"/>
        <v>6231</v>
      </c>
      <c r="E82" s="6">
        <v>7000</v>
      </c>
      <c r="F82" s="170">
        <f t="shared" si="5"/>
        <v>0</v>
      </c>
      <c r="G82" s="80"/>
    </row>
    <row r="83" spans="1:8" x14ac:dyDescent="0.25">
      <c r="A83" s="41" t="s">
        <v>61</v>
      </c>
      <c r="B83" s="16">
        <v>5000</v>
      </c>
      <c r="C83" s="54">
        <v>2453</v>
      </c>
      <c r="D83" s="55">
        <f t="shared" si="4"/>
        <v>3679.5</v>
      </c>
      <c r="E83" s="6">
        <v>4500</v>
      </c>
      <c r="F83" s="170">
        <f t="shared" si="5"/>
        <v>-0.1</v>
      </c>
      <c r="G83" s="80"/>
    </row>
    <row r="84" spans="1:8" x14ac:dyDescent="0.25">
      <c r="A84" s="41" t="s">
        <v>62</v>
      </c>
      <c r="B84" s="16">
        <v>700</v>
      </c>
      <c r="C84" s="54">
        <v>198</v>
      </c>
      <c r="D84" s="55">
        <f t="shared" si="4"/>
        <v>297</v>
      </c>
      <c r="E84" s="6">
        <v>650</v>
      </c>
      <c r="F84" s="170">
        <f t="shared" si="5"/>
        <v>-7.1428571428571425E-2</v>
      </c>
      <c r="G84" s="80"/>
    </row>
    <row r="85" spans="1:8" s="153" customFormat="1" x14ac:dyDescent="0.25">
      <c r="A85" s="41" t="s">
        <v>76</v>
      </c>
      <c r="B85" s="16">
        <v>12300</v>
      </c>
      <c r="C85" s="54">
        <v>9200</v>
      </c>
      <c r="D85" s="55">
        <f t="shared" si="4"/>
        <v>13800</v>
      </c>
      <c r="E85" s="6">
        <v>22500</v>
      </c>
      <c r="F85" s="170">
        <f t="shared" si="5"/>
        <v>0.82926829268292679</v>
      </c>
      <c r="G85" s="80"/>
      <c r="H85"/>
    </row>
    <row r="86" spans="1:8" x14ac:dyDescent="0.25">
      <c r="A86" s="41" t="s">
        <v>63</v>
      </c>
      <c r="B86" s="16">
        <v>7000</v>
      </c>
      <c r="C86" s="54">
        <v>4296</v>
      </c>
      <c r="D86" s="55">
        <f t="shared" si="4"/>
        <v>6444</v>
      </c>
      <c r="E86" s="6">
        <v>7000</v>
      </c>
      <c r="F86" s="170">
        <f t="shared" si="5"/>
        <v>0</v>
      </c>
      <c r="G86" s="80"/>
      <c r="H86" s="153"/>
    </row>
    <row r="87" spans="1:8" x14ac:dyDescent="0.25">
      <c r="A87" s="41" t="s">
        <v>46</v>
      </c>
      <c r="B87" s="16">
        <v>15000</v>
      </c>
      <c r="C87" s="54">
        <v>7658</v>
      </c>
      <c r="D87" s="55">
        <f t="shared" si="4"/>
        <v>11487</v>
      </c>
      <c r="E87" s="6">
        <v>15000</v>
      </c>
      <c r="F87" s="170">
        <f t="shared" si="5"/>
        <v>0</v>
      </c>
      <c r="G87" s="80"/>
    </row>
    <row r="88" spans="1:8" x14ac:dyDescent="0.25">
      <c r="A88" s="41" t="s">
        <v>64</v>
      </c>
      <c r="B88" s="16">
        <v>500</v>
      </c>
      <c r="C88" s="54">
        <v>0</v>
      </c>
      <c r="D88" s="55">
        <f t="shared" si="4"/>
        <v>0</v>
      </c>
      <c r="E88" s="6">
        <v>500</v>
      </c>
      <c r="F88" s="170">
        <f t="shared" si="5"/>
        <v>0</v>
      </c>
      <c r="G88" s="80"/>
    </row>
    <row r="89" spans="1:8" ht="16.5" customHeight="1" x14ac:dyDescent="0.25">
      <c r="A89" s="41" t="s">
        <v>65</v>
      </c>
      <c r="B89" s="16">
        <v>10000</v>
      </c>
      <c r="C89" s="54">
        <v>954</v>
      </c>
      <c r="D89" s="55">
        <f t="shared" si="4"/>
        <v>1431</v>
      </c>
      <c r="E89" s="6">
        <v>10000</v>
      </c>
      <c r="F89" s="170">
        <f t="shared" si="5"/>
        <v>0</v>
      </c>
      <c r="G89" s="80"/>
    </row>
    <row r="90" spans="1:8" ht="15.75" customHeight="1" x14ac:dyDescent="0.25">
      <c r="A90" s="41" t="s">
        <v>66</v>
      </c>
      <c r="B90" s="16">
        <v>15000</v>
      </c>
      <c r="C90" s="54">
        <v>1303</v>
      </c>
      <c r="D90" s="55">
        <f t="shared" si="4"/>
        <v>1954.5</v>
      </c>
      <c r="E90" s="6">
        <v>15000</v>
      </c>
      <c r="F90" s="170">
        <f t="shared" si="5"/>
        <v>0</v>
      </c>
      <c r="G90" s="80"/>
    </row>
    <row r="91" spans="1:8" x14ac:dyDescent="0.25">
      <c r="A91" s="41" t="s">
        <v>48</v>
      </c>
      <c r="B91" s="16">
        <v>3200</v>
      </c>
      <c r="C91" s="54">
        <v>2645</v>
      </c>
      <c r="D91" s="55">
        <f t="shared" si="4"/>
        <v>3967.5</v>
      </c>
      <c r="E91" s="6">
        <v>4000</v>
      </c>
      <c r="F91" s="170">
        <f t="shared" si="5"/>
        <v>0.25</v>
      </c>
    </row>
    <row r="92" spans="1:8" s="153" customFormat="1" x14ac:dyDescent="0.25">
      <c r="A92" s="41" t="s">
        <v>72</v>
      </c>
      <c r="B92" s="16">
        <v>25000</v>
      </c>
      <c r="C92" s="54">
        <v>0</v>
      </c>
      <c r="D92" s="55">
        <f t="shared" si="4"/>
        <v>0</v>
      </c>
      <c r="E92" s="6">
        <v>25000</v>
      </c>
      <c r="F92" s="170">
        <f t="shared" si="5"/>
        <v>0</v>
      </c>
    </row>
    <row r="93" spans="1:8" x14ac:dyDescent="0.25">
      <c r="A93" s="41"/>
      <c r="B93" s="16"/>
      <c r="C93" s="51"/>
      <c r="D93" s="61"/>
      <c r="E93" s="15"/>
      <c r="F93" s="170"/>
    </row>
    <row r="94" spans="1:8" ht="17.25" x14ac:dyDescent="0.4">
      <c r="A94" s="36" t="s">
        <v>52</v>
      </c>
      <c r="B94" s="52">
        <v>391355</v>
      </c>
      <c r="C94" s="60">
        <f>SUM(C67:C92)</f>
        <v>219930</v>
      </c>
      <c r="D94" s="59">
        <f>SUM(D67:D92)</f>
        <v>328201</v>
      </c>
      <c r="E94" s="19">
        <f>SUM(E67:E92)</f>
        <v>409613.04000000004</v>
      </c>
      <c r="F94" s="200">
        <f t="shared" si="5"/>
        <v>4.6653396532560044E-2</v>
      </c>
    </row>
    <row r="95" spans="1:8" x14ac:dyDescent="0.25">
      <c r="A95" s="37"/>
      <c r="E95" s="15"/>
      <c r="F95" s="170"/>
    </row>
    <row r="96" spans="1:8" ht="15.75" x14ac:dyDescent="0.25">
      <c r="A96" s="221" t="s">
        <v>67</v>
      </c>
      <c r="E96" s="15"/>
      <c r="F96" s="170"/>
    </row>
    <row r="97" spans="1:12" ht="15.75" x14ac:dyDescent="0.25">
      <c r="A97" s="2"/>
      <c r="E97" s="15"/>
      <c r="F97" s="170"/>
      <c r="G97" s="3"/>
      <c r="H97" s="117"/>
      <c r="I97" s="3"/>
    </row>
    <row r="98" spans="1:12" s="3" customFormat="1" x14ac:dyDescent="0.25">
      <c r="A98" s="31" t="s">
        <v>140</v>
      </c>
      <c r="B98" s="63">
        <v>200</v>
      </c>
      <c r="C98" s="54">
        <v>71</v>
      </c>
      <c r="D98" s="55">
        <v>71</v>
      </c>
      <c r="E98" s="6">
        <f>(71*3)</f>
        <v>213</v>
      </c>
      <c r="F98" s="170">
        <f t="shared" si="5"/>
        <v>6.5000000000000002E-2</v>
      </c>
      <c r="G98" s="80"/>
      <c r="H98"/>
      <c r="I98"/>
      <c r="K98"/>
      <c r="L98"/>
    </row>
    <row r="99" spans="1:12" x14ac:dyDescent="0.25">
      <c r="A99" s="43" t="s">
        <v>54</v>
      </c>
      <c r="B99" s="16">
        <v>800</v>
      </c>
      <c r="C99" s="54">
        <v>397</v>
      </c>
      <c r="D99" s="55">
        <f>(C99/8)*12</f>
        <v>595.5</v>
      </c>
      <c r="E99" s="6">
        <v>800</v>
      </c>
      <c r="F99" s="170">
        <f t="shared" si="5"/>
        <v>0</v>
      </c>
      <c r="G99" s="80"/>
      <c r="K99" s="3"/>
      <c r="L99" s="3"/>
    </row>
    <row r="100" spans="1:12" x14ac:dyDescent="0.25">
      <c r="A100" s="43" t="s">
        <v>30</v>
      </c>
      <c r="B100" s="16">
        <v>13000</v>
      </c>
      <c r="C100" s="54">
        <v>6696</v>
      </c>
      <c r="D100" s="55">
        <f>(C100*2)</f>
        <v>13392</v>
      </c>
      <c r="E100" s="6">
        <v>13400</v>
      </c>
      <c r="F100" s="170">
        <f t="shared" si="5"/>
        <v>3.0769230769230771E-2</v>
      </c>
      <c r="G100" s="80"/>
    </row>
    <row r="101" spans="1:12" x14ac:dyDescent="0.25">
      <c r="A101" s="43" t="s">
        <v>31</v>
      </c>
      <c r="B101" s="16">
        <v>5000</v>
      </c>
      <c r="C101" s="54">
        <v>0</v>
      </c>
      <c r="D101" s="55">
        <f t="shared" ref="D101:D110" si="6">(C101/8)*12</f>
        <v>0</v>
      </c>
      <c r="E101" s="6">
        <v>5000</v>
      </c>
      <c r="F101" s="170">
        <f t="shared" si="5"/>
        <v>0</v>
      </c>
      <c r="G101" s="80"/>
    </row>
    <row r="102" spans="1:12" x14ac:dyDescent="0.25">
      <c r="A102" s="43" t="s">
        <v>32</v>
      </c>
      <c r="B102" s="16">
        <v>200</v>
      </c>
      <c r="C102" s="54"/>
      <c r="D102" s="55">
        <f t="shared" si="6"/>
        <v>0</v>
      </c>
      <c r="E102" s="6">
        <v>200</v>
      </c>
      <c r="F102" s="170">
        <f t="shared" si="5"/>
        <v>0</v>
      </c>
      <c r="G102" s="80"/>
    </row>
    <row r="103" spans="1:12" x14ac:dyDescent="0.25">
      <c r="A103" s="43" t="s">
        <v>68</v>
      </c>
      <c r="B103" s="16">
        <v>600</v>
      </c>
      <c r="C103" s="54">
        <v>0</v>
      </c>
      <c r="D103" s="55">
        <v>600</v>
      </c>
      <c r="E103" s="6">
        <v>600</v>
      </c>
      <c r="F103" s="170">
        <f t="shared" si="5"/>
        <v>0</v>
      </c>
      <c r="G103" s="80"/>
    </row>
    <row r="104" spans="1:12" x14ac:dyDescent="0.25">
      <c r="A104" s="43" t="s">
        <v>69</v>
      </c>
      <c r="B104" s="16">
        <v>1200</v>
      </c>
      <c r="C104" s="54">
        <v>800</v>
      </c>
      <c r="D104" s="55">
        <f t="shared" si="6"/>
        <v>1200</v>
      </c>
      <c r="E104" s="6">
        <v>1200</v>
      </c>
      <c r="F104" s="170">
        <f t="shared" si="5"/>
        <v>0</v>
      </c>
      <c r="G104" s="80"/>
    </row>
    <row r="105" spans="1:12" x14ac:dyDescent="0.25">
      <c r="A105" s="43" t="s">
        <v>36</v>
      </c>
      <c r="B105" s="16">
        <v>350</v>
      </c>
      <c r="C105" s="54">
        <v>195</v>
      </c>
      <c r="D105" s="55">
        <f t="shared" si="6"/>
        <v>292.5</v>
      </c>
      <c r="E105" s="6">
        <v>350</v>
      </c>
      <c r="F105" s="170">
        <f t="shared" si="5"/>
        <v>0</v>
      </c>
      <c r="G105" s="80"/>
    </row>
    <row r="106" spans="1:12" x14ac:dyDescent="0.25">
      <c r="A106" s="43" t="s">
        <v>37</v>
      </c>
      <c r="B106" s="16">
        <v>0</v>
      </c>
      <c r="C106" s="54">
        <v>0</v>
      </c>
      <c r="D106" s="55">
        <f t="shared" si="6"/>
        <v>0</v>
      </c>
      <c r="E106" s="6">
        <v>0</v>
      </c>
      <c r="F106" s="170" t="s">
        <v>200</v>
      </c>
      <c r="G106" s="80"/>
    </row>
    <row r="107" spans="1:12" x14ac:dyDescent="0.25">
      <c r="A107" s="43" t="s">
        <v>63</v>
      </c>
      <c r="B107" s="16">
        <v>1200</v>
      </c>
      <c r="C107" s="54">
        <v>1370</v>
      </c>
      <c r="D107" s="55">
        <v>1370</v>
      </c>
      <c r="E107" s="6">
        <v>1200</v>
      </c>
      <c r="F107" s="170">
        <f t="shared" si="5"/>
        <v>0</v>
      </c>
      <c r="G107" s="80"/>
    </row>
    <row r="108" spans="1:12" x14ac:dyDescent="0.25">
      <c r="A108" s="43" t="s">
        <v>46</v>
      </c>
      <c r="B108" s="16">
        <v>2000</v>
      </c>
      <c r="C108" s="54">
        <v>5558</v>
      </c>
      <c r="D108" s="55">
        <v>5588</v>
      </c>
      <c r="E108" s="6">
        <v>2000</v>
      </c>
      <c r="F108" s="170">
        <f t="shared" si="5"/>
        <v>0</v>
      </c>
      <c r="G108" s="80"/>
    </row>
    <row r="109" spans="1:12" x14ac:dyDescent="0.25">
      <c r="A109" s="43" t="s">
        <v>70</v>
      </c>
      <c r="B109" s="16">
        <v>9500</v>
      </c>
      <c r="C109" s="54">
        <v>7818</v>
      </c>
      <c r="D109" s="55">
        <v>7818</v>
      </c>
      <c r="E109" s="6">
        <v>9500</v>
      </c>
      <c r="F109" s="170">
        <f t="shared" si="5"/>
        <v>0</v>
      </c>
      <c r="G109" s="80"/>
    </row>
    <row r="110" spans="1:12" x14ac:dyDescent="0.25">
      <c r="A110" s="43" t="s">
        <v>71</v>
      </c>
      <c r="B110" s="16">
        <v>0</v>
      </c>
      <c r="C110" s="54">
        <v>0</v>
      </c>
      <c r="D110" s="55">
        <f t="shared" si="6"/>
        <v>0</v>
      </c>
      <c r="E110" s="6">
        <v>0</v>
      </c>
      <c r="F110" s="170" t="s">
        <v>200</v>
      </c>
      <c r="G110" s="80"/>
    </row>
    <row r="111" spans="1:12" x14ac:dyDescent="0.25">
      <c r="A111" s="43" t="s">
        <v>48</v>
      </c>
      <c r="B111" s="16">
        <v>900</v>
      </c>
      <c r="C111" s="54">
        <v>687</v>
      </c>
      <c r="D111" s="55">
        <v>900</v>
      </c>
      <c r="E111" s="6">
        <v>1900</v>
      </c>
      <c r="F111" s="170">
        <f t="shared" si="5"/>
        <v>1.1111111111111112</v>
      </c>
      <c r="G111" s="80"/>
    </row>
    <row r="112" spans="1:12" x14ac:dyDescent="0.25">
      <c r="A112" s="43" t="s">
        <v>49</v>
      </c>
      <c r="B112" s="16">
        <v>0</v>
      </c>
      <c r="C112" s="54">
        <v>0</v>
      </c>
      <c r="D112" s="55">
        <v>0</v>
      </c>
      <c r="E112" s="6">
        <v>0</v>
      </c>
      <c r="F112" s="170" t="s">
        <v>200</v>
      </c>
      <c r="G112" s="80"/>
    </row>
    <row r="113" spans="1:12" x14ac:dyDescent="0.25">
      <c r="A113" s="43" t="s">
        <v>73</v>
      </c>
      <c r="B113" s="16">
        <v>28121</v>
      </c>
      <c r="C113" s="54">
        <v>28121</v>
      </c>
      <c r="D113" s="55">
        <v>28121</v>
      </c>
      <c r="E113" s="6">
        <v>18244</v>
      </c>
      <c r="F113" s="170">
        <f t="shared" si="5"/>
        <v>-0.35123217524270117</v>
      </c>
      <c r="G113" s="3"/>
      <c r="H113" s="3"/>
      <c r="I113" s="3"/>
    </row>
    <row r="114" spans="1:12" s="3" customFormat="1" x14ac:dyDescent="0.25">
      <c r="A114" s="43"/>
      <c r="B114" s="16"/>
      <c r="C114" s="51"/>
      <c r="D114" s="61"/>
      <c r="E114" s="15"/>
      <c r="F114" s="170"/>
      <c r="G114"/>
      <c r="H114"/>
      <c r="I114"/>
      <c r="K114"/>
      <c r="L114"/>
    </row>
    <row r="115" spans="1:12" ht="17.25" x14ac:dyDescent="0.4">
      <c r="A115" s="44" t="s">
        <v>52</v>
      </c>
      <c r="B115" s="52">
        <f>SUM(B98:B113)</f>
        <v>63071</v>
      </c>
      <c r="C115" s="56">
        <f>SUM(C99:C113)</f>
        <v>51642</v>
      </c>
      <c r="D115" s="98">
        <f>SUM(D98:D113)</f>
        <v>59948</v>
      </c>
      <c r="E115" s="53">
        <f>SUM(E98:E113)</f>
        <v>54607</v>
      </c>
      <c r="F115" s="200">
        <f t="shared" si="5"/>
        <v>-0.1341979673701067</v>
      </c>
      <c r="K115" s="3"/>
      <c r="L115" s="3"/>
    </row>
    <row r="116" spans="1:12" x14ac:dyDescent="0.25">
      <c r="A116" s="45"/>
      <c r="E116" s="15"/>
      <c r="F116" s="170"/>
    </row>
    <row r="117" spans="1:12" ht="15.75" x14ac:dyDescent="0.25">
      <c r="A117" s="221" t="s">
        <v>74</v>
      </c>
      <c r="E117" s="15"/>
      <c r="F117" s="170"/>
    </row>
    <row r="118" spans="1:12" ht="15.75" x14ac:dyDescent="0.25">
      <c r="A118" s="2"/>
      <c r="E118" s="15"/>
      <c r="F118" s="170"/>
    </row>
    <row r="119" spans="1:12" s="3" customFormat="1" ht="15.75" customHeight="1" x14ac:dyDescent="0.25">
      <c r="A119" s="41" t="s">
        <v>196</v>
      </c>
      <c r="B119" s="16">
        <v>252950</v>
      </c>
      <c r="C119" s="54">
        <v>168245</v>
      </c>
      <c r="D119" s="55">
        <v>252950</v>
      </c>
      <c r="E119" s="6">
        <v>252950</v>
      </c>
      <c r="F119" s="170">
        <f t="shared" si="5"/>
        <v>0</v>
      </c>
      <c r="G119" s="58"/>
      <c r="H119" s="58"/>
      <c r="I119" s="102"/>
      <c r="K119"/>
      <c r="L119"/>
    </row>
    <row r="120" spans="1:12" s="102" customFormat="1" x14ac:dyDescent="0.25">
      <c r="A120" s="41" t="s">
        <v>198</v>
      </c>
      <c r="B120" s="16">
        <v>0</v>
      </c>
      <c r="C120" s="54">
        <v>805</v>
      </c>
      <c r="D120" s="55">
        <v>1000</v>
      </c>
      <c r="E120" s="6">
        <v>1000</v>
      </c>
      <c r="F120" s="170" t="s">
        <v>200</v>
      </c>
      <c r="G120" s="58"/>
      <c r="H120" s="3"/>
      <c r="I120" s="3"/>
      <c r="K120" s="3"/>
      <c r="L120" s="3"/>
    </row>
    <row r="121" spans="1:12" s="3" customFormat="1" x14ac:dyDescent="0.25">
      <c r="A121" s="41"/>
      <c r="B121" s="16"/>
      <c r="C121" s="11"/>
      <c r="D121" s="14"/>
      <c r="E121" s="15"/>
      <c r="F121" s="170"/>
      <c r="G121"/>
      <c r="H121"/>
      <c r="I121"/>
      <c r="K121" s="102"/>
      <c r="L121" s="102"/>
    </row>
    <row r="122" spans="1:12" ht="17.25" x14ac:dyDescent="0.4">
      <c r="A122" s="36" t="s">
        <v>52</v>
      </c>
      <c r="B122" s="52">
        <f>SUM(B119:B120)</f>
        <v>252950</v>
      </c>
      <c r="C122" s="56">
        <f>SUM(C119:C119)</f>
        <v>168245</v>
      </c>
      <c r="D122" s="57">
        <f>SUM(D119:D120)</f>
        <v>253950</v>
      </c>
      <c r="E122" s="53">
        <f>SUM(E119:E120)</f>
        <v>253950</v>
      </c>
      <c r="F122" s="200">
        <f t="shared" si="5"/>
        <v>3.9533504645186792E-3</v>
      </c>
      <c r="K122" s="3"/>
      <c r="L122" s="3"/>
    </row>
    <row r="123" spans="1:12" ht="15.75" x14ac:dyDescent="0.25">
      <c r="A123" s="2"/>
      <c r="E123" s="15"/>
      <c r="F123" s="170"/>
    </row>
    <row r="124" spans="1:12" ht="15.75" x14ac:dyDescent="0.25">
      <c r="A124" s="2"/>
      <c r="E124" s="15"/>
      <c r="F124" s="170"/>
    </row>
    <row r="125" spans="1:12" ht="15.75" x14ac:dyDescent="0.25">
      <c r="A125" s="221" t="s">
        <v>222</v>
      </c>
      <c r="E125" s="15"/>
      <c r="F125" s="170"/>
    </row>
    <row r="126" spans="1:12" ht="15.75" x14ac:dyDescent="0.25">
      <c r="A126" s="2"/>
      <c r="E126" s="15"/>
      <c r="F126" s="170"/>
    </row>
    <row r="127" spans="1:12" x14ac:dyDescent="0.25">
      <c r="A127" s="41" t="s">
        <v>46</v>
      </c>
      <c r="B127" s="16">
        <v>200</v>
      </c>
      <c r="C127" s="54">
        <v>0</v>
      </c>
      <c r="D127" s="55">
        <v>0</v>
      </c>
      <c r="E127" s="6">
        <v>200</v>
      </c>
      <c r="F127" s="170">
        <f t="shared" si="5"/>
        <v>0</v>
      </c>
    </row>
    <row r="128" spans="1:12" x14ac:dyDescent="0.25">
      <c r="A128" s="41" t="s">
        <v>70</v>
      </c>
      <c r="B128" s="16">
        <v>300</v>
      </c>
      <c r="C128" s="54">
        <v>0</v>
      </c>
      <c r="D128" s="55">
        <v>0</v>
      </c>
      <c r="E128" s="6">
        <v>300</v>
      </c>
      <c r="F128" s="170">
        <f t="shared" si="5"/>
        <v>0</v>
      </c>
    </row>
    <row r="129" spans="1:7" x14ac:dyDescent="0.25">
      <c r="A129" s="41" t="s">
        <v>49</v>
      </c>
      <c r="B129" s="16">
        <v>500</v>
      </c>
      <c r="C129" s="54">
        <v>0</v>
      </c>
      <c r="D129" s="55">
        <v>0</v>
      </c>
      <c r="E129" s="6">
        <v>500</v>
      </c>
      <c r="F129" s="170">
        <f t="shared" si="5"/>
        <v>0</v>
      </c>
    </row>
    <row r="130" spans="1:7" x14ac:dyDescent="0.25">
      <c r="A130" s="41"/>
      <c r="E130" s="15"/>
      <c r="F130" s="170"/>
    </row>
    <row r="131" spans="1:7" x14ac:dyDescent="0.25">
      <c r="A131" s="36" t="s">
        <v>52</v>
      </c>
      <c r="B131" s="18">
        <f>SUM(B127:B129)</f>
        <v>1000</v>
      </c>
      <c r="C131" s="60">
        <f>SUM(C127:C129)</f>
        <v>0</v>
      </c>
      <c r="D131" s="59">
        <f>SUM(D127:D129)</f>
        <v>0</v>
      </c>
      <c r="E131" s="19">
        <f>SUM(E127:E129)</f>
        <v>1000</v>
      </c>
      <c r="F131" s="200">
        <f t="shared" si="5"/>
        <v>0</v>
      </c>
    </row>
    <row r="132" spans="1:7" x14ac:dyDescent="0.25">
      <c r="A132" s="37"/>
      <c r="E132" s="15"/>
      <c r="F132" s="170"/>
    </row>
    <row r="133" spans="1:7" x14ac:dyDescent="0.25">
      <c r="A133" s="37"/>
      <c r="E133" s="15"/>
      <c r="F133" s="170"/>
    </row>
    <row r="134" spans="1:7" ht="18" x14ac:dyDescent="0.4">
      <c r="A134" s="221" t="s">
        <v>78</v>
      </c>
      <c r="B134" s="68"/>
      <c r="C134" s="69"/>
      <c r="D134" s="70"/>
      <c r="E134" s="88"/>
      <c r="F134" s="159"/>
    </row>
    <row r="135" spans="1:7" ht="15.75" x14ac:dyDescent="0.25">
      <c r="A135" s="2"/>
      <c r="E135" s="15"/>
      <c r="F135" s="170"/>
      <c r="G135" s="58"/>
    </row>
    <row r="136" spans="1:7" x14ac:dyDescent="0.25">
      <c r="A136" s="33" t="s">
        <v>24</v>
      </c>
      <c r="B136" s="16">
        <v>21000</v>
      </c>
      <c r="C136" s="54">
        <v>19277</v>
      </c>
      <c r="D136" s="55">
        <f t="shared" ref="D136:D153" si="7">(C136/8)*12</f>
        <v>28915.5</v>
      </c>
      <c r="E136" s="6">
        <v>30000</v>
      </c>
      <c r="F136" s="170">
        <f t="shared" ref="F136:F193" si="8">(E136-B136)/B136</f>
        <v>0.42857142857142855</v>
      </c>
      <c r="G136" s="58"/>
    </row>
    <row r="137" spans="1:7" ht="15.75" customHeight="1" x14ac:dyDescent="0.25">
      <c r="A137" s="33" t="s">
        <v>26</v>
      </c>
      <c r="B137" s="16">
        <v>2100</v>
      </c>
      <c r="C137" s="54">
        <v>1475</v>
      </c>
      <c r="D137" s="55">
        <f t="shared" si="7"/>
        <v>2212.5</v>
      </c>
      <c r="E137" s="6">
        <v>2300</v>
      </c>
      <c r="F137" s="170">
        <f t="shared" si="8"/>
        <v>9.5238095238095233E-2</v>
      </c>
      <c r="G137" s="58"/>
    </row>
    <row r="138" spans="1:7" x14ac:dyDescent="0.25">
      <c r="A138" s="33" t="s">
        <v>27</v>
      </c>
      <c r="B138" s="16">
        <v>550</v>
      </c>
      <c r="C138" s="54">
        <v>298</v>
      </c>
      <c r="D138" s="55">
        <f t="shared" si="7"/>
        <v>447</v>
      </c>
      <c r="E138" s="6">
        <v>500</v>
      </c>
      <c r="F138" s="170">
        <f t="shared" si="8"/>
        <v>-9.0909090909090912E-2</v>
      </c>
      <c r="G138" s="58"/>
    </row>
    <row r="139" spans="1:7" x14ac:dyDescent="0.25">
      <c r="A139" s="33" t="s">
        <v>54</v>
      </c>
      <c r="B139" s="16">
        <v>300</v>
      </c>
      <c r="C139" s="54">
        <v>119</v>
      </c>
      <c r="D139" s="55">
        <f t="shared" si="7"/>
        <v>178.5</v>
      </c>
      <c r="E139" s="6">
        <v>250</v>
      </c>
      <c r="F139" s="170">
        <f t="shared" si="8"/>
        <v>-0.16666666666666666</v>
      </c>
      <c r="G139" s="58"/>
    </row>
    <row r="140" spans="1:7" x14ac:dyDescent="0.25">
      <c r="A140" s="33" t="s">
        <v>31</v>
      </c>
      <c r="B140" s="16">
        <v>500</v>
      </c>
      <c r="C140" s="54">
        <v>115</v>
      </c>
      <c r="D140" s="55">
        <v>500</v>
      </c>
      <c r="E140" s="6">
        <v>2000</v>
      </c>
      <c r="F140" s="170">
        <f t="shared" si="8"/>
        <v>3</v>
      </c>
      <c r="G140" s="58"/>
    </row>
    <row r="141" spans="1:7" x14ac:dyDescent="0.25">
      <c r="A141" s="33" t="s">
        <v>79</v>
      </c>
      <c r="B141" s="16">
        <v>1000</v>
      </c>
      <c r="C141" s="54">
        <v>374</v>
      </c>
      <c r="D141" s="55">
        <f t="shared" si="7"/>
        <v>561</v>
      </c>
      <c r="E141" s="6">
        <v>1000</v>
      </c>
      <c r="F141" s="170">
        <f t="shared" si="8"/>
        <v>0</v>
      </c>
      <c r="G141" s="58"/>
    </row>
    <row r="142" spans="1:7" x14ac:dyDescent="0.25">
      <c r="A142" s="33" t="s">
        <v>36</v>
      </c>
      <c r="B142" s="16">
        <v>500</v>
      </c>
      <c r="C142" s="54">
        <v>195</v>
      </c>
      <c r="D142" s="55">
        <v>450</v>
      </c>
      <c r="E142" s="6">
        <v>500</v>
      </c>
      <c r="F142" s="170">
        <f t="shared" si="8"/>
        <v>0</v>
      </c>
      <c r="G142" s="58"/>
    </row>
    <row r="143" spans="1:7" x14ac:dyDescent="0.25">
      <c r="A143" s="33" t="s">
        <v>39</v>
      </c>
      <c r="B143" s="16">
        <v>450</v>
      </c>
      <c r="C143" s="54">
        <v>927</v>
      </c>
      <c r="D143" s="55">
        <f t="shared" si="7"/>
        <v>1390.5</v>
      </c>
      <c r="E143" s="6">
        <v>1200</v>
      </c>
      <c r="F143" s="170">
        <f t="shared" si="8"/>
        <v>1.6666666666666667</v>
      </c>
      <c r="G143" s="58"/>
    </row>
    <row r="144" spans="1:7" x14ac:dyDescent="0.25">
      <c r="A144" s="33" t="s">
        <v>77</v>
      </c>
      <c r="B144" s="16">
        <v>100</v>
      </c>
      <c r="C144" s="54">
        <v>0</v>
      </c>
      <c r="D144" s="55">
        <f t="shared" si="7"/>
        <v>0</v>
      </c>
      <c r="E144" s="6">
        <v>100</v>
      </c>
      <c r="F144" s="170">
        <f t="shared" si="8"/>
        <v>0</v>
      </c>
      <c r="G144" s="58"/>
    </row>
    <row r="145" spans="1:12" x14ac:dyDescent="0.25">
      <c r="A145" s="33" t="s">
        <v>41</v>
      </c>
      <c r="B145" s="16">
        <v>500</v>
      </c>
      <c r="C145" s="54">
        <v>0</v>
      </c>
      <c r="D145" s="55">
        <f t="shared" si="7"/>
        <v>0</v>
      </c>
      <c r="E145" s="6">
        <v>500</v>
      </c>
      <c r="F145" s="170">
        <f t="shared" si="8"/>
        <v>0</v>
      </c>
      <c r="G145" s="58"/>
    </row>
    <row r="146" spans="1:12" x14ac:dyDescent="0.25">
      <c r="A146" s="33" t="s">
        <v>58</v>
      </c>
      <c r="B146" s="16">
        <v>1800</v>
      </c>
      <c r="C146" s="54">
        <v>1000</v>
      </c>
      <c r="D146" s="55">
        <f>(C146/8)*12</f>
        <v>1500</v>
      </c>
      <c r="E146" s="6">
        <v>1600</v>
      </c>
      <c r="F146" s="170">
        <f t="shared" si="8"/>
        <v>-0.1111111111111111</v>
      </c>
      <c r="G146" s="58"/>
    </row>
    <row r="147" spans="1:12" x14ac:dyDescent="0.25">
      <c r="A147" s="33" t="s">
        <v>59</v>
      </c>
      <c r="B147" s="16">
        <v>6000</v>
      </c>
      <c r="C147" s="54">
        <v>3809</v>
      </c>
      <c r="D147" s="55">
        <f t="shared" si="7"/>
        <v>5713.5</v>
      </c>
      <c r="E147" s="6">
        <v>6000</v>
      </c>
      <c r="F147" s="170">
        <f t="shared" si="8"/>
        <v>0</v>
      </c>
      <c r="G147" s="58"/>
    </row>
    <row r="148" spans="1:12" x14ac:dyDescent="0.25">
      <c r="A148" s="33" t="s">
        <v>46</v>
      </c>
      <c r="B148" s="16">
        <v>2000</v>
      </c>
      <c r="C148" s="54">
        <v>350</v>
      </c>
      <c r="D148" s="55">
        <f t="shared" si="7"/>
        <v>525</v>
      </c>
      <c r="E148" s="6">
        <v>2000</v>
      </c>
      <c r="F148" s="170">
        <f t="shared" si="8"/>
        <v>0</v>
      </c>
      <c r="G148" s="58"/>
    </row>
    <row r="149" spans="1:12" x14ac:dyDescent="0.25">
      <c r="A149" s="33" t="s">
        <v>80</v>
      </c>
      <c r="B149" s="16">
        <v>10000</v>
      </c>
      <c r="C149" s="54">
        <v>5359</v>
      </c>
      <c r="D149" s="55">
        <v>10000</v>
      </c>
      <c r="E149" s="6">
        <v>10000</v>
      </c>
      <c r="F149" s="170">
        <f t="shared" si="8"/>
        <v>0</v>
      </c>
      <c r="G149" s="58"/>
      <c r="H149" s="3"/>
      <c r="I149" s="3"/>
    </row>
    <row r="150" spans="1:12" x14ac:dyDescent="0.25">
      <c r="A150" s="33" t="s">
        <v>81</v>
      </c>
      <c r="B150" s="16">
        <v>4500</v>
      </c>
      <c r="C150" s="54">
        <v>3268.24</v>
      </c>
      <c r="D150" s="55">
        <v>4500</v>
      </c>
      <c r="E150" s="6">
        <v>4500</v>
      </c>
      <c r="F150" s="170">
        <f t="shared" si="8"/>
        <v>0</v>
      </c>
      <c r="G150" s="58"/>
      <c r="H150" s="3"/>
      <c r="I150" s="3"/>
      <c r="J150" s="3"/>
    </row>
    <row r="151" spans="1:12" x14ac:dyDescent="0.25">
      <c r="A151" s="33" t="s">
        <v>48</v>
      </c>
      <c r="B151" s="16">
        <v>1400</v>
      </c>
      <c r="C151" s="54">
        <v>1224</v>
      </c>
      <c r="D151" s="55">
        <v>1500</v>
      </c>
      <c r="E151" s="6">
        <v>1500</v>
      </c>
      <c r="F151" s="170">
        <f t="shared" si="8"/>
        <v>7.1428571428571425E-2</v>
      </c>
      <c r="G151" s="58"/>
      <c r="H151" s="3"/>
      <c r="I151" s="3"/>
      <c r="J151" s="3"/>
      <c r="K151" s="3"/>
      <c r="L151" s="3"/>
    </row>
    <row r="152" spans="1:12" x14ac:dyDescent="0.25">
      <c r="A152" s="33" t="s">
        <v>82</v>
      </c>
      <c r="B152" s="16">
        <v>5000</v>
      </c>
      <c r="C152" s="54">
        <v>2072</v>
      </c>
      <c r="D152" s="55">
        <f t="shared" si="7"/>
        <v>3108</v>
      </c>
      <c r="E152" s="6">
        <v>5000</v>
      </c>
      <c r="F152" s="170">
        <f t="shared" si="8"/>
        <v>0</v>
      </c>
      <c r="G152" s="58"/>
      <c r="H152" s="3"/>
      <c r="I152" s="3"/>
      <c r="J152" s="3"/>
      <c r="K152" s="3"/>
      <c r="L152" s="3"/>
    </row>
    <row r="153" spans="1:12" x14ac:dyDescent="0.25">
      <c r="A153" s="33" t="s">
        <v>49</v>
      </c>
      <c r="B153" s="16">
        <v>1000</v>
      </c>
      <c r="C153" s="54">
        <v>0</v>
      </c>
      <c r="D153" s="55">
        <f t="shared" si="7"/>
        <v>0</v>
      </c>
      <c r="E153" s="6">
        <v>1000</v>
      </c>
      <c r="F153" s="170">
        <f t="shared" si="8"/>
        <v>0</v>
      </c>
      <c r="H153" s="3"/>
      <c r="I153" s="3"/>
      <c r="J153" s="3"/>
      <c r="K153" s="3"/>
      <c r="L153" s="3"/>
    </row>
    <row r="154" spans="1:12" x14ac:dyDescent="0.25">
      <c r="A154" s="33"/>
      <c r="B154" s="24"/>
      <c r="D154" s="61"/>
      <c r="E154" s="17"/>
      <c r="F154" s="170"/>
      <c r="H154" s="3"/>
      <c r="I154" s="3"/>
      <c r="J154" s="3"/>
      <c r="K154" s="3"/>
      <c r="L154" s="3"/>
    </row>
    <row r="155" spans="1:12" ht="17.25" x14ac:dyDescent="0.4">
      <c r="A155" s="46" t="s">
        <v>52</v>
      </c>
      <c r="B155" s="52">
        <f>SUM(B136:B153)</f>
        <v>58700</v>
      </c>
      <c r="C155" s="56">
        <f>SUM(C136:C153)</f>
        <v>39862.239999999998</v>
      </c>
      <c r="D155" s="98">
        <f>SUM(D136:D153)</f>
        <v>61501.5</v>
      </c>
      <c r="E155" s="53">
        <f>SUM(E136:E153)</f>
        <v>69950</v>
      </c>
      <c r="F155" s="200">
        <f t="shared" si="8"/>
        <v>0.19165247018739354</v>
      </c>
      <c r="G155" s="58"/>
      <c r="H155" s="3"/>
      <c r="I155" s="3"/>
      <c r="J155" s="3"/>
      <c r="K155" s="3"/>
      <c r="L155" s="3"/>
    </row>
    <row r="156" spans="1:12" s="153" customFormat="1" ht="17.25" x14ac:dyDescent="0.4">
      <c r="A156" s="46"/>
      <c r="B156" s="52"/>
      <c r="C156" s="56"/>
      <c r="D156" s="98"/>
      <c r="E156" s="53"/>
      <c r="F156" s="200"/>
      <c r="G156" s="58"/>
    </row>
    <row r="157" spans="1:12" x14ac:dyDescent="0.25">
      <c r="A157" s="47"/>
      <c r="E157" s="15"/>
      <c r="F157" s="170"/>
      <c r="H157" s="3"/>
      <c r="I157" s="3"/>
      <c r="J157" s="3"/>
      <c r="K157" s="3"/>
      <c r="L157" s="3"/>
    </row>
    <row r="158" spans="1:12" ht="15.75" x14ac:dyDescent="0.25">
      <c r="A158" s="221" t="s">
        <v>154</v>
      </c>
      <c r="E158" s="15"/>
      <c r="F158" s="170"/>
      <c r="H158" s="3"/>
      <c r="I158" s="3"/>
      <c r="J158" s="3"/>
      <c r="K158" s="3"/>
      <c r="L158" s="3"/>
    </row>
    <row r="159" spans="1:12" ht="15.75" x14ac:dyDescent="0.25">
      <c r="A159" s="2"/>
      <c r="E159" s="15"/>
      <c r="F159" s="170"/>
      <c r="G159" s="80"/>
      <c r="H159" s="3"/>
      <c r="I159" s="3"/>
      <c r="J159" s="3"/>
      <c r="K159" s="3"/>
      <c r="L159" s="3"/>
    </row>
    <row r="160" spans="1:12" x14ac:dyDescent="0.25">
      <c r="A160" s="33" t="s">
        <v>24</v>
      </c>
      <c r="B160" s="16">
        <v>23000</v>
      </c>
      <c r="C160" s="54">
        <v>15612</v>
      </c>
      <c r="D160" s="55">
        <v>23000</v>
      </c>
      <c r="E160" s="6">
        <v>23800</v>
      </c>
      <c r="F160" s="170">
        <f t="shared" si="8"/>
        <v>3.4782608695652174E-2</v>
      </c>
      <c r="G160" s="80"/>
      <c r="H160" s="3"/>
      <c r="I160" s="3"/>
      <c r="J160" s="3"/>
      <c r="K160" s="3"/>
      <c r="L160" s="3"/>
    </row>
    <row r="161" spans="1:12" x14ac:dyDescent="0.25">
      <c r="A161" s="33" t="s">
        <v>25</v>
      </c>
      <c r="B161" s="16">
        <v>32</v>
      </c>
      <c r="C161" s="54">
        <v>34</v>
      </c>
      <c r="D161" s="55">
        <v>34</v>
      </c>
      <c r="E161" s="6">
        <v>40</v>
      </c>
      <c r="F161" s="170" t="s">
        <v>200</v>
      </c>
      <c r="G161" s="80"/>
      <c r="H161" s="3"/>
      <c r="I161" s="3"/>
      <c r="J161" s="3"/>
      <c r="K161" s="3"/>
      <c r="L161" s="3"/>
    </row>
    <row r="162" spans="1:12" ht="14.25" customHeight="1" x14ac:dyDescent="0.25">
      <c r="A162" s="33" t="s">
        <v>26</v>
      </c>
      <c r="B162" s="16">
        <v>1800</v>
      </c>
      <c r="C162" s="54">
        <v>1197</v>
      </c>
      <c r="D162" s="55">
        <f>(C162/8)*12</f>
        <v>1795.5</v>
      </c>
      <c r="E162" s="6">
        <v>1800</v>
      </c>
      <c r="F162" s="170">
        <f t="shared" si="8"/>
        <v>0</v>
      </c>
      <c r="G162" s="80"/>
      <c r="H162" s="3"/>
      <c r="I162" s="3"/>
      <c r="J162" s="3"/>
      <c r="K162" s="3"/>
      <c r="L162" s="3"/>
    </row>
    <row r="163" spans="1:12" x14ac:dyDescent="0.25">
      <c r="A163" s="33" t="s">
        <v>27</v>
      </c>
      <c r="B163" s="16">
        <v>280</v>
      </c>
      <c r="C163" s="54">
        <v>144</v>
      </c>
      <c r="D163" s="55">
        <f>(C163/8)*12</f>
        <v>216</v>
      </c>
      <c r="E163" s="6">
        <v>250</v>
      </c>
      <c r="F163" s="170">
        <f t="shared" si="8"/>
        <v>-0.10714285714285714</v>
      </c>
      <c r="G163" s="80"/>
      <c r="H163" s="3"/>
      <c r="I163" s="3"/>
      <c r="J163" s="3"/>
      <c r="K163" s="3"/>
      <c r="L163" s="3"/>
    </row>
    <row r="164" spans="1:12" x14ac:dyDescent="0.25">
      <c r="A164" s="33" t="s">
        <v>28</v>
      </c>
      <c r="B164" s="16">
        <v>4146</v>
      </c>
      <c r="C164" s="54">
        <f>(0.5*691)*8</f>
        <v>2764</v>
      </c>
      <c r="D164" s="55">
        <f t="shared" ref="D164:D175" si="9">(C164/8)*12</f>
        <v>4146</v>
      </c>
      <c r="E164" s="6">
        <f>(B164*1.03)</f>
        <v>4270.38</v>
      </c>
      <c r="F164" s="170">
        <f t="shared" si="8"/>
        <v>3.0000000000000027E-2</v>
      </c>
      <c r="G164" s="80"/>
      <c r="H164" s="3"/>
      <c r="I164" s="3"/>
      <c r="J164" s="3"/>
      <c r="K164" s="3"/>
      <c r="L164" s="3"/>
    </row>
    <row r="165" spans="1:12" x14ac:dyDescent="0.25">
      <c r="A165" s="33" t="s">
        <v>31</v>
      </c>
      <c r="B165" s="16">
        <v>1500</v>
      </c>
      <c r="C165" s="54">
        <v>200</v>
      </c>
      <c r="D165" s="55">
        <f t="shared" si="9"/>
        <v>300</v>
      </c>
      <c r="E165" s="6">
        <v>1500</v>
      </c>
      <c r="F165" s="170">
        <f t="shared" si="8"/>
        <v>0</v>
      </c>
      <c r="G165" s="80"/>
      <c r="H165" s="3"/>
      <c r="I165" s="3"/>
      <c r="J165" s="3"/>
      <c r="K165" s="3"/>
      <c r="L165" s="3"/>
    </row>
    <row r="166" spans="1:12" x14ac:dyDescent="0.25">
      <c r="A166" s="33" t="s">
        <v>32</v>
      </c>
      <c r="B166" s="16">
        <v>0</v>
      </c>
      <c r="C166" s="54">
        <v>0</v>
      </c>
      <c r="D166" s="55">
        <f t="shared" si="9"/>
        <v>0</v>
      </c>
      <c r="E166" s="6">
        <v>250</v>
      </c>
      <c r="F166" s="170" t="s">
        <v>200</v>
      </c>
      <c r="G166" s="80"/>
      <c r="H166" s="3"/>
      <c r="I166" s="3"/>
      <c r="J166" s="3"/>
      <c r="K166" s="3"/>
      <c r="L166" s="3"/>
    </row>
    <row r="167" spans="1:12" x14ac:dyDescent="0.25">
      <c r="A167" s="33" t="s">
        <v>75</v>
      </c>
      <c r="B167" s="16">
        <v>10000</v>
      </c>
      <c r="C167" s="54">
        <v>3829</v>
      </c>
      <c r="D167" s="55">
        <f t="shared" si="9"/>
        <v>5743.5</v>
      </c>
      <c r="E167" s="6">
        <v>10000</v>
      </c>
      <c r="F167" s="170">
        <f t="shared" si="8"/>
        <v>0</v>
      </c>
      <c r="G167" s="80"/>
      <c r="J167" s="3"/>
      <c r="K167" s="3"/>
      <c r="L167" s="3"/>
    </row>
    <row r="168" spans="1:12" x14ac:dyDescent="0.25">
      <c r="A168" s="33" t="s">
        <v>83</v>
      </c>
      <c r="B168" s="16">
        <v>5500</v>
      </c>
      <c r="C168" s="54">
        <v>2814</v>
      </c>
      <c r="D168" s="55">
        <f t="shared" si="9"/>
        <v>4221</v>
      </c>
      <c r="E168" s="6">
        <v>5500</v>
      </c>
      <c r="F168" s="170">
        <f t="shared" si="8"/>
        <v>0</v>
      </c>
      <c r="G168" s="80"/>
    </row>
    <row r="169" spans="1:12" x14ac:dyDescent="0.25">
      <c r="A169" s="33" t="s">
        <v>39</v>
      </c>
      <c r="B169" s="16">
        <v>1200</v>
      </c>
      <c r="C169" s="54">
        <v>403</v>
      </c>
      <c r="D169" s="55">
        <f t="shared" si="9"/>
        <v>604.5</v>
      </c>
      <c r="E169" s="6">
        <v>1000</v>
      </c>
      <c r="F169" s="170">
        <f t="shared" si="8"/>
        <v>-0.16666666666666666</v>
      </c>
      <c r="G169" s="80"/>
    </row>
    <row r="170" spans="1:12" x14ac:dyDescent="0.25">
      <c r="A170" s="33" t="s">
        <v>84</v>
      </c>
      <c r="B170" s="16">
        <v>450</v>
      </c>
      <c r="C170" s="54">
        <v>227</v>
      </c>
      <c r="D170" s="55">
        <f t="shared" si="9"/>
        <v>340.5</v>
      </c>
      <c r="E170" s="6">
        <v>450</v>
      </c>
      <c r="F170" s="170">
        <f t="shared" si="8"/>
        <v>0</v>
      </c>
      <c r="G170" s="80"/>
    </row>
    <row r="171" spans="1:12" x14ac:dyDescent="0.25">
      <c r="A171" s="33" t="s">
        <v>46</v>
      </c>
      <c r="B171" s="16">
        <v>500</v>
      </c>
      <c r="C171" s="54">
        <v>0</v>
      </c>
      <c r="D171" s="55">
        <f t="shared" si="9"/>
        <v>0</v>
      </c>
      <c r="E171" s="6">
        <v>500</v>
      </c>
      <c r="F171" s="170">
        <f t="shared" si="8"/>
        <v>0</v>
      </c>
      <c r="G171" s="80"/>
    </row>
    <row r="172" spans="1:12" x14ac:dyDescent="0.25">
      <c r="A172" s="33" t="s">
        <v>70</v>
      </c>
      <c r="B172" s="16">
        <v>500</v>
      </c>
      <c r="C172" s="54">
        <v>0</v>
      </c>
      <c r="D172" s="55">
        <f t="shared" si="9"/>
        <v>0</v>
      </c>
      <c r="E172" s="6">
        <v>500</v>
      </c>
      <c r="F172" s="170">
        <f t="shared" si="8"/>
        <v>0</v>
      </c>
      <c r="G172" s="80"/>
    </row>
    <row r="173" spans="1:12" x14ac:dyDescent="0.25">
      <c r="A173" s="33" t="s">
        <v>85</v>
      </c>
      <c r="B173" s="16">
        <v>2300</v>
      </c>
      <c r="C173" s="54">
        <v>2045</v>
      </c>
      <c r="D173" s="55">
        <v>2045</v>
      </c>
      <c r="E173" s="6">
        <v>2300</v>
      </c>
      <c r="F173" s="170">
        <f t="shared" si="8"/>
        <v>0</v>
      </c>
      <c r="G173" s="80"/>
    </row>
    <row r="174" spans="1:12" x14ac:dyDescent="0.25">
      <c r="A174" s="33" t="s">
        <v>86</v>
      </c>
      <c r="B174" s="16">
        <v>700</v>
      </c>
      <c r="C174" s="54">
        <v>0</v>
      </c>
      <c r="D174" s="55">
        <f t="shared" si="9"/>
        <v>0</v>
      </c>
      <c r="E174" s="6">
        <v>700</v>
      </c>
      <c r="F174" s="170">
        <f t="shared" si="8"/>
        <v>0</v>
      </c>
      <c r="G174" s="80"/>
    </row>
    <row r="175" spans="1:12" x14ac:dyDescent="0.25">
      <c r="A175" s="33" t="s">
        <v>87</v>
      </c>
      <c r="B175" s="16">
        <v>200</v>
      </c>
      <c r="C175" s="54">
        <v>0</v>
      </c>
      <c r="D175" s="55">
        <f t="shared" si="9"/>
        <v>0</v>
      </c>
      <c r="E175" s="6">
        <v>200</v>
      </c>
      <c r="F175" s="170">
        <f t="shared" si="8"/>
        <v>0</v>
      </c>
      <c r="G175" s="80"/>
    </row>
    <row r="176" spans="1:12" x14ac:dyDescent="0.25">
      <c r="A176" s="33"/>
      <c r="B176" s="16"/>
      <c r="C176" s="163"/>
      <c r="E176" s="15"/>
      <c r="F176" s="170"/>
      <c r="G176" s="80"/>
    </row>
    <row r="177" spans="1:8" ht="17.25" x14ac:dyDescent="0.4">
      <c r="A177" s="36" t="s">
        <v>52</v>
      </c>
      <c r="B177" s="52">
        <f>SUM(B160:B175)</f>
        <v>52108</v>
      </c>
      <c r="C177" s="56">
        <f>SUM(C160:C175)</f>
        <v>29269</v>
      </c>
      <c r="D177" s="98">
        <f>SUM(D160:D175)</f>
        <v>42446</v>
      </c>
      <c r="E177" s="53">
        <f>SUM(E160:E175)</f>
        <v>53060.380000000005</v>
      </c>
      <c r="F177" s="200">
        <f t="shared" si="8"/>
        <v>1.8277039993858997E-2</v>
      </c>
    </row>
    <row r="178" spans="1:8" x14ac:dyDescent="0.25">
      <c r="A178" s="37"/>
      <c r="E178" s="15"/>
      <c r="F178" s="170"/>
    </row>
    <row r="179" spans="1:8" x14ac:dyDescent="0.25">
      <c r="A179" s="37"/>
      <c r="E179" s="15"/>
      <c r="F179" s="170"/>
    </row>
    <row r="180" spans="1:8" ht="15.75" x14ac:dyDescent="0.25">
      <c r="A180" s="119" t="s">
        <v>88</v>
      </c>
      <c r="B180" s="237"/>
      <c r="C180" s="238"/>
      <c r="D180" s="239"/>
      <c r="E180" s="240"/>
      <c r="F180" s="170"/>
    </row>
    <row r="181" spans="1:8" x14ac:dyDescent="0.25">
      <c r="A181" s="42"/>
      <c r="E181" s="15"/>
      <c r="F181" s="170"/>
    </row>
    <row r="182" spans="1:8" ht="15.75" x14ac:dyDescent="0.25">
      <c r="A182" s="119" t="s">
        <v>236</v>
      </c>
      <c r="B182" s="18">
        <f>B25</f>
        <v>1161282.49</v>
      </c>
      <c r="C182" s="60">
        <f>(C25)</f>
        <v>769457.45</v>
      </c>
      <c r="D182" s="59">
        <f>D25</f>
        <v>1059346.675</v>
      </c>
      <c r="E182" s="19">
        <f>SUM(E5:E23)</f>
        <v>1218055</v>
      </c>
      <c r="F182" s="200">
        <f t="shared" si="8"/>
        <v>4.888776890108798E-2</v>
      </c>
    </row>
    <row r="183" spans="1:8" x14ac:dyDescent="0.25">
      <c r="A183" s="42"/>
      <c r="E183" s="15"/>
      <c r="F183" s="170"/>
    </row>
    <row r="184" spans="1:8" x14ac:dyDescent="0.25">
      <c r="A184" s="42"/>
      <c r="E184" s="15"/>
      <c r="F184" s="170"/>
    </row>
    <row r="185" spans="1:8" ht="15.75" x14ac:dyDescent="0.25">
      <c r="A185" s="119" t="s">
        <v>237</v>
      </c>
      <c r="E185" s="15"/>
      <c r="F185" s="170"/>
    </row>
    <row r="186" spans="1:8" x14ac:dyDescent="0.25">
      <c r="A186" s="42"/>
      <c r="E186" s="15"/>
      <c r="F186" s="170"/>
      <c r="G186" s="75"/>
      <c r="H186" s="58"/>
    </row>
    <row r="187" spans="1:8" x14ac:dyDescent="0.25">
      <c r="A187" s="37" t="s">
        <v>91</v>
      </c>
      <c r="B187" s="16">
        <f>SUM(B33:B61)</f>
        <v>335300</v>
      </c>
      <c r="C187" s="54">
        <f>C63</f>
        <v>229120</v>
      </c>
      <c r="D187" s="55">
        <f>D63</f>
        <v>324651</v>
      </c>
      <c r="E187" s="6">
        <f>E63</f>
        <v>348901.9</v>
      </c>
      <c r="F187" s="170">
        <f t="shared" si="8"/>
        <v>4.0566358484938933E-2</v>
      </c>
      <c r="G187" s="75"/>
      <c r="H187" s="58"/>
    </row>
    <row r="188" spans="1:8" x14ac:dyDescent="0.25">
      <c r="A188" s="37" t="s">
        <v>142</v>
      </c>
      <c r="B188" s="16">
        <f>SUM(B67:B91)</f>
        <v>366355</v>
      </c>
      <c r="C188" s="54">
        <f>C94</f>
        <v>219930</v>
      </c>
      <c r="D188" s="55">
        <f>D94</f>
        <v>328201</v>
      </c>
      <c r="E188" s="6">
        <f>E94</f>
        <v>409613.04000000004</v>
      </c>
      <c r="F188" s="170">
        <f t="shared" si="8"/>
        <v>0.11807683803960649</v>
      </c>
      <c r="G188" s="75"/>
      <c r="H188" s="58"/>
    </row>
    <row r="189" spans="1:8" x14ac:dyDescent="0.25">
      <c r="A189" s="37" t="s">
        <v>92</v>
      </c>
      <c r="B189" s="16">
        <f>SUM(B99:B113)</f>
        <v>62871</v>
      </c>
      <c r="C189" s="54">
        <f>C115</f>
        <v>51642</v>
      </c>
      <c r="D189" s="55">
        <f>D115</f>
        <v>59948</v>
      </c>
      <c r="E189" s="6">
        <f>E115</f>
        <v>54607</v>
      </c>
      <c r="F189" s="170">
        <f t="shared" si="8"/>
        <v>-0.1314437499005901</v>
      </c>
      <c r="G189" s="75"/>
      <c r="H189" s="58"/>
    </row>
    <row r="190" spans="1:8" x14ac:dyDescent="0.25">
      <c r="A190" s="37" t="s">
        <v>93</v>
      </c>
      <c r="B190" s="16">
        <f>B122</f>
        <v>252950</v>
      </c>
      <c r="C190" s="54">
        <f>C122</f>
        <v>168245</v>
      </c>
      <c r="D190" s="55">
        <f>D122</f>
        <v>253950</v>
      </c>
      <c r="E190" s="6">
        <f>E122</f>
        <v>253950</v>
      </c>
      <c r="F190" s="170">
        <f t="shared" si="8"/>
        <v>3.9533504645186792E-3</v>
      </c>
      <c r="G190" s="75"/>
      <c r="H190" s="58"/>
    </row>
    <row r="191" spans="1:8" x14ac:dyDescent="0.25">
      <c r="A191" s="37" t="s">
        <v>238</v>
      </c>
      <c r="B191" s="16">
        <f>SUM(B127:B129)</f>
        <v>1000</v>
      </c>
      <c r="C191" s="54">
        <f>C131</f>
        <v>0</v>
      </c>
      <c r="D191" s="55">
        <f>D131</f>
        <v>0</v>
      </c>
      <c r="E191" s="6">
        <v>1000</v>
      </c>
      <c r="F191" s="170">
        <f t="shared" si="8"/>
        <v>0</v>
      </c>
      <c r="G191" s="75"/>
      <c r="H191" s="58"/>
    </row>
    <row r="192" spans="1:8" x14ac:dyDescent="0.25">
      <c r="A192" s="37" t="s">
        <v>94</v>
      </c>
      <c r="B192" s="16">
        <f>SUM(B136:B153)</f>
        <v>58700</v>
      </c>
      <c r="C192" s="54">
        <f>C155</f>
        <v>39862.239999999998</v>
      </c>
      <c r="D192" s="55">
        <f>D155</f>
        <v>61501.5</v>
      </c>
      <c r="E192" s="6">
        <f>(E155)</f>
        <v>69950</v>
      </c>
      <c r="F192" s="170">
        <f t="shared" si="8"/>
        <v>0.19165247018739354</v>
      </c>
      <c r="G192" s="75"/>
      <c r="H192" s="58"/>
    </row>
    <row r="193" spans="1:12" x14ac:dyDescent="0.25">
      <c r="A193" s="37" t="s">
        <v>95</v>
      </c>
      <c r="B193" s="16">
        <f>SUM(B160:B175)</f>
        <v>52108</v>
      </c>
      <c r="C193" s="54">
        <f>C177</f>
        <v>29269</v>
      </c>
      <c r="D193" s="55">
        <f>D177</f>
        <v>42446</v>
      </c>
      <c r="E193" s="6">
        <f>E177</f>
        <v>53060.380000000005</v>
      </c>
      <c r="F193" s="170">
        <f t="shared" si="8"/>
        <v>1.8277039993858997E-2</v>
      </c>
    </row>
    <row r="194" spans="1:12" x14ac:dyDescent="0.25">
      <c r="A194" s="42"/>
      <c r="E194" s="15"/>
      <c r="F194" s="170"/>
    </row>
    <row r="195" spans="1:12" ht="15.75" x14ac:dyDescent="0.25">
      <c r="A195" s="119" t="s">
        <v>143</v>
      </c>
      <c r="B195" s="18">
        <f>SUM(B187:B193)</f>
        <v>1129284</v>
      </c>
      <c r="C195" s="60">
        <f>SUM(C187:C193)</f>
        <v>738068.24</v>
      </c>
      <c r="D195" s="59">
        <f>SUM(D187:D193)</f>
        <v>1070697.5</v>
      </c>
      <c r="E195" s="19">
        <f>SUM(E187:E193)</f>
        <v>1191082.3199999998</v>
      </c>
      <c r="F195" s="200">
        <f t="shared" ref="F195:F199" si="10">(E195-B195)/B195</f>
        <v>5.472345309063073E-2</v>
      </c>
    </row>
    <row r="196" spans="1:12" x14ac:dyDescent="0.25">
      <c r="A196" s="42"/>
      <c r="E196" s="15"/>
      <c r="F196" s="170"/>
      <c r="G196" s="102"/>
      <c r="H196" s="102"/>
      <c r="I196" s="102"/>
    </row>
    <row r="197" spans="1:12" s="102" customFormat="1" ht="18" x14ac:dyDescent="0.4">
      <c r="A197" s="119" t="s">
        <v>269</v>
      </c>
      <c r="B197" s="52">
        <f>(B182-B195)</f>
        <v>31998.489999999991</v>
      </c>
      <c r="C197" s="56">
        <f>(C182-C195)</f>
        <v>31389.209999999963</v>
      </c>
      <c r="D197" s="57">
        <f>(D182-D195)</f>
        <v>-11350.824999999953</v>
      </c>
      <c r="E197" s="53">
        <f>(E182-E195)</f>
        <v>26972.680000000168</v>
      </c>
      <c r="F197" s="200">
        <f t="shared" si="10"/>
        <v>-0.15706397395626559</v>
      </c>
      <c r="K197"/>
      <c r="L197"/>
    </row>
    <row r="198" spans="1:12" s="102" customFormat="1" x14ac:dyDescent="0.25">
      <c r="A198" s="42"/>
      <c r="B198" s="13"/>
      <c r="C198" s="11"/>
      <c r="D198" s="14"/>
      <c r="E198" s="15"/>
      <c r="F198" s="170"/>
      <c r="G198"/>
      <c r="H198"/>
      <c r="I198"/>
    </row>
    <row r="199" spans="1:12" ht="20.25" x14ac:dyDescent="0.55000000000000004">
      <c r="A199" s="48" t="s">
        <v>151</v>
      </c>
      <c r="B199" s="83">
        <v>52331</v>
      </c>
      <c r="C199" s="84">
        <v>174895</v>
      </c>
      <c r="D199" s="85">
        <v>147898</v>
      </c>
      <c r="E199" s="73">
        <v>210658</v>
      </c>
      <c r="F199" s="200">
        <f t="shared" si="10"/>
        <v>3.0254915824272421</v>
      </c>
      <c r="K199" s="102"/>
      <c r="L199" s="102"/>
    </row>
    <row r="200" spans="1:12" x14ac:dyDescent="0.25">
      <c r="A200" s="1"/>
      <c r="B200" s="1"/>
      <c r="C200" s="1"/>
      <c r="D200" s="1"/>
      <c r="E200" s="1"/>
      <c r="F200" s="1"/>
      <c r="G200" s="1"/>
    </row>
    <row r="201" spans="1:12" x14ac:dyDescent="0.25">
      <c r="A201" s="1"/>
      <c r="B201" s="1"/>
      <c r="C201" s="1"/>
      <c r="D201" s="1"/>
      <c r="E201" s="1"/>
      <c r="F201" s="1"/>
      <c r="G201" s="1"/>
    </row>
    <row r="202" spans="1:12" ht="42.75" thickBot="1" x14ac:dyDescent="0.3">
      <c r="A202" s="228" t="s">
        <v>247</v>
      </c>
      <c r="B202" s="229" t="s">
        <v>248</v>
      </c>
      <c r="C202" s="229" t="s">
        <v>249</v>
      </c>
      <c r="D202" s="230" t="s">
        <v>250</v>
      </c>
      <c r="E202" s="1"/>
      <c r="F202" s="1"/>
      <c r="G202" s="1"/>
    </row>
    <row r="203" spans="1:12" ht="77.25" customHeight="1" thickTop="1" thickBot="1" x14ac:dyDescent="0.3">
      <c r="A203" s="231" t="s">
        <v>251</v>
      </c>
      <c r="B203" s="232">
        <v>0.26</v>
      </c>
      <c r="C203" s="232">
        <v>0.26</v>
      </c>
      <c r="D203" s="233">
        <v>0.22</v>
      </c>
      <c r="E203" s="1"/>
      <c r="F203" s="1"/>
      <c r="G203" s="1"/>
    </row>
    <row r="204" spans="1:12" ht="57" thickBot="1" x14ac:dyDescent="0.3">
      <c r="A204" s="234" t="s">
        <v>252</v>
      </c>
      <c r="B204" s="235">
        <v>0.02</v>
      </c>
      <c r="C204" s="235">
        <v>7.0000000000000007E-2</v>
      </c>
      <c r="D204" s="236">
        <f>(E199/E195)</f>
        <v>0.17686267058350763</v>
      </c>
      <c r="E204" s="1"/>
      <c r="F204" s="1"/>
      <c r="G204" s="1"/>
    </row>
    <row r="205" spans="1:12" x14ac:dyDescent="0.25">
      <c r="A205" s="1"/>
      <c r="B205" s="1"/>
      <c r="C205" s="1"/>
      <c r="D205" s="1"/>
      <c r="E205" s="1"/>
      <c r="F205" s="1"/>
      <c r="G205" s="1"/>
    </row>
    <row r="206" spans="1:12" x14ac:dyDescent="0.25">
      <c r="A206" s="1"/>
      <c r="B206" s="1"/>
      <c r="C206" s="1"/>
      <c r="D206" s="1"/>
      <c r="E206" s="1"/>
      <c r="F206" s="1"/>
      <c r="G206" s="1"/>
    </row>
    <row r="207" spans="1:12" x14ac:dyDescent="0.25">
      <c r="A207" s="1"/>
      <c r="B207" s="1"/>
      <c r="C207" s="1"/>
      <c r="D207" s="1"/>
      <c r="E207" s="1"/>
      <c r="F207" s="1"/>
      <c r="G207" s="1"/>
    </row>
    <row r="208" spans="1:12" x14ac:dyDescent="0.25">
      <c r="A208" s="1"/>
      <c r="B208" s="1"/>
      <c r="C208" s="1"/>
      <c r="D208" s="1"/>
      <c r="E208" s="1"/>
      <c r="F208" s="1"/>
      <c r="G208" s="1"/>
    </row>
    <row r="209" spans="1:7" x14ac:dyDescent="0.25">
      <c r="A209" s="1"/>
      <c r="B209" s="1"/>
      <c r="C209" s="1"/>
      <c r="D209" s="1"/>
      <c r="E209" s="1"/>
      <c r="F209" s="1"/>
      <c r="G209" s="1"/>
    </row>
    <row r="210" spans="1:7" x14ac:dyDescent="0.25">
      <c r="A210" s="1"/>
      <c r="B210" s="1"/>
      <c r="C210" s="1"/>
      <c r="D210" s="1"/>
      <c r="E210" s="1"/>
      <c r="F210" s="1"/>
      <c r="G210" s="1"/>
    </row>
    <row r="211" spans="1:7" x14ac:dyDescent="0.25">
      <c r="A211" s="1"/>
      <c r="B211" s="1"/>
      <c r="C211" s="1"/>
      <c r="D211" s="1"/>
      <c r="E211" s="1"/>
      <c r="F211" s="1"/>
      <c r="G211" s="1"/>
    </row>
    <row r="212" spans="1:7" x14ac:dyDescent="0.25">
      <c r="A212" s="1"/>
      <c r="B212" s="1"/>
      <c r="C212" s="1"/>
      <c r="D212" s="1"/>
      <c r="E212" s="1"/>
      <c r="F212" s="1"/>
      <c r="G212" s="1"/>
    </row>
    <row r="213" spans="1:7" x14ac:dyDescent="0.25">
      <c r="A213" s="1"/>
      <c r="B213" s="1"/>
      <c r="C213" s="1"/>
      <c r="D213" s="1"/>
      <c r="E213" s="1"/>
      <c r="F213" s="1"/>
      <c r="G213" s="1"/>
    </row>
    <row r="214" spans="1:7" x14ac:dyDescent="0.25">
      <c r="A214" s="1"/>
      <c r="B214" s="1"/>
      <c r="C214" s="1"/>
      <c r="D214" s="1"/>
      <c r="E214" s="1"/>
      <c r="F214" s="1"/>
      <c r="G214" s="1"/>
    </row>
    <row r="215" spans="1:7" x14ac:dyDescent="0.25">
      <c r="A215" s="1"/>
      <c r="B215" s="1"/>
      <c r="C215" s="1"/>
      <c r="D215" s="1"/>
      <c r="E215" s="1"/>
      <c r="F215" s="1"/>
      <c r="G215" s="1"/>
    </row>
    <row r="216" spans="1:7" x14ac:dyDescent="0.25">
      <c r="A216" s="1"/>
      <c r="B216" s="1"/>
      <c r="C216" s="1"/>
      <c r="D216" s="1"/>
      <c r="E216" s="1"/>
      <c r="F216" s="1"/>
      <c r="G216" s="1"/>
    </row>
    <row r="217" spans="1:7" x14ac:dyDescent="0.25">
      <c r="A217" s="1"/>
      <c r="B217" s="1"/>
      <c r="C217" s="1"/>
      <c r="D217" s="1"/>
      <c r="E217" s="1"/>
      <c r="F217" s="1"/>
      <c r="G217" s="1"/>
    </row>
    <row r="218" spans="1:7" x14ac:dyDescent="0.25">
      <c r="A218" s="1"/>
      <c r="B218" s="1"/>
      <c r="C218" s="1"/>
      <c r="D218" s="1"/>
      <c r="E218" s="1"/>
      <c r="F218" s="1"/>
      <c r="G218" s="1"/>
    </row>
    <row r="219" spans="1:7" x14ac:dyDescent="0.25">
      <c r="A219" s="1"/>
      <c r="B219" s="1"/>
      <c r="C219" s="1"/>
      <c r="D219" s="1"/>
      <c r="E219" s="1"/>
      <c r="F219" s="1"/>
      <c r="G219" s="1"/>
    </row>
    <row r="220" spans="1:7" x14ac:dyDescent="0.25">
      <c r="A220" s="1"/>
      <c r="B220" s="1"/>
      <c r="C220" s="1"/>
      <c r="D220" s="1"/>
      <c r="E220" s="1"/>
      <c r="F220" s="1"/>
      <c r="G220" s="1"/>
    </row>
    <row r="221" spans="1:7" x14ac:dyDescent="0.25">
      <c r="A221" s="1"/>
      <c r="B221" s="1"/>
      <c r="C221" s="1"/>
      <c r="D221" s="1"/>
      <c r="E221" s="1"/>
      <c r="F221" s="1"/>
      <c r="G221" s="1"/>
    </row>
    <row r="222" spans="1:7" x14ac:dyDescent="0.25">
      <c r="A222" s="1"/>
      <c r="B222" s="1"/>
      <c r="C222" s="1"/>
      <c r="D222" s="1"/>
      <c r="E222" s="1"/>
      <c r="F222" s="1"/>
      <c r="G222" s="1"/>
    </row>
    <row r="223" spans="1:7" x14ac:dyDescent="0.25">
      <c r="A223" s="1"/>
      <c r="B223" s="1"/>
      <c r="C223" s="1"/>
      <c r="D223" s="1"/>
      <c r="E223" s="1"/>
      <c r="F223" s="1"/>
      <c r="G223" s="1"/>
    </row>
    <row r="224" spans="1:7" x14ac:dyDescent="0.25">
      <c r="A224" s="1"/>
      <c r="B224" s="1"/>
      <c r="C224" s="1"/>
      <c r="D224" s="1"/>
      <c r="E224" s="1"/>
      <c r="F224" s="1"/>
      <c r="G224" s="1"/>
    </row>
    <row r="225" spans="1:7" x14ac:dyDescent="0.25">
      <c r="A225" s="1"/>
      <c r="B225" s="1"/>
      <c r="C225" s="1"/>
      <c r="D225" s="1"/>
      <c r="E225" s="1"/>
      <c r="F225" s="1"/>
      <c r="G225" s="1"/>
    </row>
    <row r="226" spans="1:7" x14ac:dyDescent="0.25">
      <c r="A226" s="1"/>
      <c r="B226" s="1"/>
      <c r="C226" s="1"/>
      <c r="D226" s="1"/>
      <c r="E226" s="1"/>
      <c r="F226" s="1"/>
      <c r="G226" s="1"/>
    </row>
    <row r="227" spans="1:7" x14ac:dyDescent="0.25">
      <c r="A227" s="1"/>
      <c r="B227" s="1"/>
      <c r="C227" s="1"/>
      <c r="D227" s="1"/>
      <c r="E227" s="1"/>
      <c r="F227" s="1"/>
      <c r="G227" s="1"/>
    </row>
    <row r="228" spans="1:7" x14ac:dyDescent="0.25">
      <c r="A228" s="1"/>
      <c r="B228" s="1"/>
      <c r="C228" s="1"/>
      <c r="D228" s="1"/>
      <c r="E228" s="1"/>
      <c r="F228" s="1"/>
      <c r="G228" s="1"/>
    </row>
    <row r="229" spans="1:7" x14ac:dyDescent="0.25">
      <c r="A229" s="1"/>
      <c r="B229" s="1"/>
      <c r="C229" s="1"/>
      <c r="D229" s="1"/>
      <c r="E229" s="1"/>
      <c r="F229" s="1"/>
      <c r="G229" s="1"/>
    </row>
    <row r="230" spans="1:7" x14ac:dyDescent="0.25">
      <c r="A230" s="1"/>
      <c r="B230" s="1"/>
      <c r="C230" s="1"/>
      <c r="D230" s="1"/>
      <c r="E230" s="1"/>
      <c r="F230" s="1"/>
      <c r="G230" s="1"/>
    </row>
    <row r="231" spans="1:7" x14ac:dyDescent="0.25">
      <c r="A231" s="1"/>
      <c r="B231" s="1"/>
      <c r="C231" s="1"/>
      <c r="D231" s="1"/>
      <c r="E231" s="1"/>
      <c r="F231" s="1"/>
      <c r="G231" s="1"/>
    </row>
    <row r="232" spans="1:7" x14ac:dyDescent="0.25">
      <c r="A232" s="1"/>
      <c r="B232" s="1"/>
      <c r="C232" s="1"/>
      <c r="D232" s="1"/>
      <c r="E232" s="1"/>
      <c r="F232" s="1"/>
      <c r="G232" s="1"/>
    </row>
    <row r="233" spans="1:7" x14ac:dyDescent="0.25">
      <c r="A233" s="1"/>
      <c r="B233" s="1"/>
      <c r="C233" s="1"/>
      <c r="D233" s="1"/>
      <c r="E233" s="1"/>
      <c r="F233" s="1"/>
      <c r="G233" s="1"/>
    </row>
    <row r="234" spans="1:7" x14ac:dyDescent="0.25">
      <c r="A234" s="1"/>
      <c r="B234" s="1"/>
      <c r="C234" s="1"/>
      <c r="D234" s="1"/>
      <c r="E234" s="1"/>
      <c r="F234" s="1"/>
      <c r="G234" s="1"/>
    </row>
    <row r="235" spans="1:7" x14ac:dyDescent="0.25">
      <c r="A235" s="1"/>
      <c r="B235" s="1"/>
      <c r="C235" s="1"/>
      <c r="D235" s="1"/>
      <c r="E235" s="1"/>
      <c r="F235" s="1"/>
      <c r="G235" s="1"/>
    </row>
    <row r="236" spans="1:7" x14ac:dyDescent="0.25">
      <c r="A236" s="1"/>
      <c r="B236" s="1"/>
      <c r="C236" s="1"/>
      <c r="D236" s="1"/>
      <c r="E236" s="1"/>
      <c r="F236" s="1"/>
      <c r="G236" s="1"/>
    </row>
    <row r="237" spans="1:7" x14ac:dyDescent="0.25">
      <c r="A237" s="1"/>
      <c r="B237" s="1"/>
      <c r="C237" s="1"/>
      <c r="D237" s="1"/>
      <c r="E237" s="1"/>
      <c r="F237" s="1"/>
      <c r="G237" s="1"/>
    </row>
    <row r="238" spans="1:7" x14ac:dyDescent="0.25">
      <c r="A238" s="1"/>
      <c r="B238" s="1"/>
      <c r="C238" s="1"/>
      <c r="D238" s="1"/>
      <c r="E238" s="1"/>
      <c r="F238" s="1"/>
      <c r="G238" s="1"/>
    </row>
    <row r="239" spans="1:7" x14ac:dyDescent="0.25">
      <c r="A239" s="1"/>
      <c r="B239" s="1"/>
      <c r="C239" s="1"/>
      <c r="D239" s="1"/>
      <c r="E239" s="1"/>
      <c r="F239" s="1"/>
      <c r="G239" s="1"/>
    </row>
    <row r="240" spans="1:7" x14ac:dyDescent="0.25">
      <c r="A240" s="1"/>
      <c r="B240" s="1"/>
      <c r="C240" s="1"/>
      <c r="D240" s="1"/>
      <c r="E240" s="1"/>
      <c r="F240" s="1"/>
      <c r="G240" s="1"/>
    </row>
    <row r="241" spans="1:7" x14ac:dyDescent="0.25">
      <c r="A241" s="1"/>
      <c r="B241" s="1"/>
      <c r="C241" s="1"/>
      <c r="D241" s="1"/>
      <c r="E241" s="1"/>
      <c r="F241" s="1"/>
      <c r="G241" s="1"/>
    </row>
    <row r="242" spans="1:7" x14ac:dyDescent="0.25">
      <c r="A242" s="1"/>
      <c r="B242" s="1"/>
      <c r="C242" s="1"/>
      <c r="D242" s="1"/>
      <c r="E242" s="1"/>
      <c r="F242" s="1"/>
      <c r="G242" s="1"/>
    </row>
    <row r="243" spans="1:7" x14ac:dyDescent="0.25">
      <c r="A243" s="1"/>
      <c r="B243" s="1"/>
      <c r="C243" s="1"/>
      <c r="D243" s="1"/>
      <c r="E243" s="1"/>
      <c r="F243" s="1"/>
      <c r="G243" s="1"/>
    </row>
    <row r="244" spans="1:7" x14ac:dyDescent="0.25">
      <c r="A244" s="1"/>
      <c r="B244" s="1"/>
      <c r="C244" s="1"/>
      <c r="D244" s="1"/>
      <c r="E244" s="1"/>
      <c r="F244" s="1"/>
      <c r="G244" s="1"/>
    </row>
    <row r="245" spans="1:7" x14ac:dyDescent="0.25">
      <c r="A245" s="1"/>
      <c r="B245" s="1"/>
      <c r="C245" s="1"/>
      <c r="D245" s="1"/>
      <c r="E245" s="1"/>
      <c r="F245" s="1"/>
      <c r="G245" s="1"/>
    </row>
    <row r="246" spans="1:7" x14ac:dyDescent="0.25">
      <c r="A246" s="1"/>
      <c r="B246" s="1"/>
      <c r="C246" s="1"/>
      <c r="D246" s="1"/>
      <c r="E246" s="1"/>
      <c r="F246" s="1"/>
      <c r="G246" s="1"/>
    </row>
    <row r="247" spans="1:7" x14ac:dyDescent="0.25">
      <c r="A247" s="1"/>
      <c r="B247" s="1"/>
      <c r="C247" s="1"/>
      <c r="D247" s="1"/>
      <c r="E247" s="1"/>
      <c r="F247" s="1"/>
      <c r="G247" s="1"/>
    </row>
    <row r="248" spans="1:7" x14ac:dyDescent="0.25">
      <c r="A248" s="1"/>
      <c r="B248" s="1"/>
      <c r="C248" s="1"/>
      <c r="D248" s="1"/>
      <c r="E248" s="1"/>
      <c r="F248" s="1"/>
      <c r="G248" s="1"/>
    </row>
    <row r="249" spans="1:7" x14ac:dyDescent="0.25">
      <c r="A249" s="1"/>
      <c r="B249" s="1"/>
      <c r="C249" s="1"/>
      <c r="D249" s="1"/>
      <c r="E249" s="1"/>
      <c r="F249" s="1"/>
      <c r="G249" s="1"/>
    </row>
    <row r="250" spans="1:7" x14ac:dyDescent="0.25">
      <c r="A250" s="1"/>
      <c r="B250" s="1"/>
      <c r="C250" s="1"/>
      <c r="D250" s="1"/>
      <c r="E250" s="1"/>
      <c r="F250" s="1"/>
      <c r="G250" s="1"/>
    </row>
    <row r="251" spans="1:7" x14ac:dyDescent="0.25">
      <c r="A251" s="1"/>
      <c r="B251" s="1"/>
      <c r="C251" s="1"/>
      <c r="D251" s="1"/>
      <c r="E251" s="1"/>
      <c r="F251" s="1"/>
      <c r="G251" s="1"/>
    </row>
    <row r="252" spans="1:7" x14ac:dyDescent="0.25">
      <c r="A252" s="1"/>
      <c r="B252" s="1"/>
      <c r="C252" s="1"/>
      <c r="D252" s="1"/>
      <c r="E252" s="1"/>
      <c r="F252" s="1"/>
      <c r="G252" s="1"/>
    </row>
    <row r="253" spans="1:7" x14ac:dyDescent="0.25">
      <c r="A253" s="1"/>
      <c r="B253" s="1"/>
      <c r="C253" s="1"/>
      <c r="D253" s="1"/>
      <c r="E253" s="1"/>
      <c r="F253" s="1"/>
      <c r="G253" s="1"/>
    </row>
    <row r="254" spans="1:7" x14ac:dyDescent="0.25">
      <c r="A254" s="1"/>
      <c r="B254" s="1"/>
      <c r="C254" s="1"/>
      <c r="D254" s="1"/>
      <c r="E254" s="1"/>
      <c r="F254" s="1"/>
      <c r="G254" s="1"/>
    </row>
    <row r="255" spans="1:7" x14ac:dyDescent="0.25">
      <c r="A255" s="1"/>
      <c r="B255" s="1"/>
      <c r="C255" s="1"/>
      <c r="D255" s="1"/>
      <c r="E255" s="1"/>
      <c r="F255" s="1"/>
      <c r="G255" s="1"/>
    </row>
    <row r="256" spans="1:7" x14ac:dyDescent="0.25">
      <c r="A256" s="1"/>
      <c r="B256" s="1"/>
      <c r="C256" s="1"/>
      <c r="D256" s="1"/>
      <c r="E256" s="1"/>
      <c r="F256" s="1"/>
      <c r="G256" s="1"/>
    </row>
    <row r="257" spans="1:7" x14ac:dyDescent="0.25">
      <c r="A257" s="1"/>
      <c r="B257" s="1"/>
      <c r="C257" s="1"/>
      <c r="D257" s="1"/>
      <c r="E257" s="1"/>
      <c r="F257" s="1"/>
      <c r="G257" s="1"/>
    </row>
    <row r="258" spans="1:7" x14ac:dyDescent="0.25">
      <c r="A258" s="1"/>
      <c r="B258" s="1"/>
      <c r="C258" s="1"/>
      <c r="D258" s="1"/>
      <c r="E258" s="1"/>
      <c r="F258" s="1"/>
      <c r="G258" s="1"/>
    </row>
    <row r="259" spans="1:7" x14ac:dyDescent="0.25">
      <c r="A259" s="1"/>
      <c r="B259" s="1"/>
      <c r="C259" s="1"/>
      <c r="D259" s="1"/>
      <c r="E259" s="1"/>
      <c r="F259" s="1"/>
      <c r="G259" s="1"/>
    </row>
    <row r="260" spans="1:7" x14ac:dyDescent="0.25">
      <c r="A260" s="1"/>
      <c r="B260" s="1"/>
      <c r="C260" s="1"/>
      <c r="D260" s="1"/>
      <c r="E260" s="1"/>
      <c r="F260" s="1"/>
      <c r="G260" s="1"/>
    </row>
    <row r="261" spans="1:7" x14ac:dyDescent="0.25">
      <c r="A261" s="1"/>
      <c r="B261" s="1"/>
      <c r="C261" s="1"/>
      <c r="D261" s="1"/>
      <c r="E261" s="1"/>
      <c r="F261" s="1"/>
      <c r="G261" s="1"/>
    </row>
    <row r="262" spans="1:7" x14ac:dyDescent="0.25">
      <c r="A262" s="1"/>
      <c r="B262" s="1"/>
      <c r="C262" s="1"/>
      <c r="D262" s="1"/>
      <c r="E262" s="1"/>
      <c r="F262" s="1"/>
      <c r="G262" s="1"/>
    </row>
    <row r="263" spans="1:7" x14ac:dyDescent="0.25">
      <c r="A263" s="1"/>
      <c r="B263" s="1"/>
      <c r="C263" s="1"/>
      <c r="D263" s="1"/>
      <c r="E263" s="1"/>
      <c r="F263" s="1"/>
      <c r="G263" s="1"/>
    </row>
    <row r="264" spans="1:7" x14ac:dyDescent="0.25">
      <c r="A264" s="1"/>
      <c r="B264" s="1"/>
      <c r="C264" s="1"/>
      <c r="D264" s="1"/>
      <c r="E264" s="1"/>
      <c r="F264" s="1"/>
      <c r="G264" s="1"/>
    </row>
    <row r="265" spans="1:7" x14ac:dyDescent="0.25">
      <c r="A265" s="1"/>
      <c r="B265" s="1"/>
      <c r="C265" s="1"/>
      <c r="D265" s="1"/>
      <c r="E265" s="1"/>
      <c r="F265" s="1"/>
      <c r="G265" s="1"/>
    </row>
    <row r="266" spans="1:7" x14ac:dyDescent="0.25">
      <c r="A266" s="1"/>
      <c r="B266" s="1"/>
      <c r="C266" s="1"/>
      <c r="D266" s="1"/>
      <c r="E266" s="1"/>
      <c r="F266" s="1"/>
      <c r="G266" s="1"/>
    </row>
    <row r="267" spans="1:7" x14ac:dyDescent="0.25">
      <c r="A267" s="1"/>
      <c r="B267" s="1"/>
      <c r="C267" s="1"/>
      <c r="D267" s="1"/>
      <c r="E267" s="1"/>
      <c r="F267" s="1"/>
      <c r="G267" s="1"/>
    </row>
    <row r="268" spans="1:7" x14ac:dyDescent="0.25">
      <c r="A268" s="1"/>
      <c r="B268" s="1"/>
      <c r="C268" s="1"/>
      <c r="D268" s="1"/>
      <c r="E268" s="1"/>
      <c r="F268" s="1"/>
      <c r="G268" s="1"/>
    </row>
    <row r="269" spans="1:7" x14ac:dyDescent="0.25">
      <c r="A269" s="1"/>
      <c r="B269" s="1"/>
      <c r="C269" s="1"/>
      <c r="D269" s="1"/>
      <c r="E269" s="1"/>
      <c r="F269" s="1"/>
      <c r="G269" s="1"/>
    </row>
    <row r="270" spans="1:7" x14ac:dyDescent="0.25">
      <c r="A270" s="1"/>
      <c r="B270" s="1"/>
      <c r="C270" s="1"/>
      <c r="D270" s="1"/>
      <c r="E270" s="1"/>
      <c r="F270" s="1"/>
      <c r="G270" s="1"/>
    </row>
    <row r="271" spans="1:7" x14ac:dyDescent="0.25">
      <c r="A271" s="1"/>
      <c r="B271" s="1"/>
      <c r="C271" s="1"/>
      <c r="D271" s="1"/>
      <c r="E271" s="1"/>
      <c r="F271" s="1"/>
      <c r="G271" s="1"/>
    </row>
    <row r="272" spans="1:7" x14ac:dyDescent="0.25">
      <c r="A272" s="1"/>
      <c r="B272" s="1"/>
      <c r="C272" s="1"/>
      <c r="D272" s="1"/>
      <c r="E272" s="1"/>
      <c r="F272" s="1"/>
      <c r="G272" s="1"/>
    </row>
    <row r="273" spans="1:7" x14ac:dyDescent="0.25">
      <c r="A273" s="1"/>
      <c r="B273" s="1"/>
      <c r="C273" s="1"/>
      <c r="D273" s="1"/>
      <c r="E273" s="1"/>
      <c r="F273" s="1"/>
      <c r="G273" s="1"/>
    </row>
    <row r="274" spans="1:7" x14ac:dyDescent="0.25">
      <c r="A274" s="1"/>
      <c r="B274" s="1"/>
      <c r="C274" s="1"/>
      <c r="D274" s="1"/>
      <c r="E274" s="1"/>
      <c r="F274" s="1"/>
      <c r="G274" s="1"/>
    </row>
    <row r="275" spans="1:7" x14ac:dyDescent="0.25">
      <c r="A275" s="1"/>
      <c r="B275" s="1"/>
      <c r="C275" s="1"/>
      <c r="D275" s="1"/>
      <c r="E275" s="1"/>
      <c r="F275" s="1"/>
      <c r="G275" s="1"/>
    </row>
    <row r="276" spans="1:7" x14ac:dyDescent="0.25">
      <c r="A276" s="1"/>
      <c r="B276" s="1"/>
      <c r="C276" s="1"/>
      <c r="D276" s="1"/>
      <c r="E276" s="1"/>
      <c r="F276" s="1"/>
      <c r="G276" s="1"/>
    </row>
    <row r="277" spans="1:7" x14ac:dyDescent="0.25">
      <c r="A277" s="1"/>
      <c r="B277" s="1"/>
      <c r="C277" s="1"/>
      <c r="D277" s="1"/>
      <c r="E277" s="1"/>
      <c r="F277" s="1"/>
      <c r="G277" s="1"/>
    </row>
    <row r="278" spans="1:7" x14ac:dyDescent="0.25">
      <c r="A278" s="1"/>
      <c r="B278" s="1"/>
      <c r="C278" s="1"/>
      <c r="D278" s="1"/>
      <c r="E278" s="1"/>
      <c r="F278" s="1"/>
      <c r="G278" s="1"/>
    </row>
    <row r="279" spans="1:7" x14ac:dyDescent="0.25">
      <c r="A279" s="1"/>
      <c r="B279" s="1"/>
      <c r="C279" s="1"/>
      <c r="D279" s="1"/>
      <c r="E279" s="1"/>
      <c r="F279" s="1"/>
      <c r="G279" s="1"/>
    </row>
    <row r="280" spans="1:7" x14ac:dyDescent="0.25">
      <c r="A280" s="1"/>
      <c r="B280" s="1"/>
      <c r="C280" s="1"/>
      <c r="D280" s="1"/>
      <c r="E280" s="1"/>
      <c r="F280" s="1"/>
      <c r="G280" s="1"/>
    </row>
    <row r="281" spans="1:7" x14ac:dyDescent="0.25">
      <c r="A281" s="1"/>
      <c r="B281" s="1"/>
      <c r="C281" s="1"/>
      <c r="D281" s="1"/>
      <c r="E281" s="1"/>
      <c r="F281" s="1"/>
      <c r="G281" s="1"/>
    </row>
    <row r="282" spans="1:7" x14ac:dyDescent="0.25">
      <c r="A282" s="1"/>
      <c r="B282" s="1"/>
      <c r="C282" s="1"/>
      <c r="D282" s="1"/>
      <c r="E282" s="1"/>
      <c r="F282" s="1"/>
      <c r="G282" s="1"/>
    </row>
    <row r="283" spans="1:7" x14ac:dyDescent="0.25">
      <c r="A283" s="1"/>
      <c r="B283" s="1"/>
      <c r="C283" s="1"/>
      <c r="D283" s="1"/>
      <c r="E283" s="1"/>
      <c r="F283" s="1"/>
      <c r="G283" s="1"/>
    </row>
    <row r="284" spans="1:7" x14ac:dyDescent="0.25">
      <c r="A284" s="1"/>
      <c r="B284" s="1"/>
      <c r="C284" s="1"/>
      <c r="D284" s="1"/>
      <c r="E284" s="1"/>
      <c r="F284" s="1"/>
      <c r="G284" s="1"/>
    </row>
    <row r="285" spans="1:7" x14ac:dyDescent="0.25">
      <c r="A285" s="1"/>
      <c r="B285" s="1"/>
      <c r="C285" s="1"/>
      <c r="D285" s="1"/>
      <c r="E285" s="1"/>
      <c r="F285" s="1"/>
      <c r="G285" s="1"/>
    </row>
    <row r="286" spans="1:7" x14ac:dyDescent="0.25">
      <c r="A286" s="1"/>
      <c r="B286" s="1"/>
      <c r="C286" s="1"/>
      <c r="D286" s="1"/>
      <c r="E286" s="1"/>
      <c r="F286" s="1"/>
      <c r="G286" s="1"/>
    </row>
    <row r="287" spans="1:7" x14ac:dyDescent="0.25">
      <c r="A287" s="1"/>
      <c r="B287" s="1"/>
      <c r="C287" s="1"/>
      <c r="D287" s="1"/>
      <c r="E287" s="1"/>
      <c r="F287" s="1"/>
      <c r="G287" s="1"/>
    </row>
    <row r="288" spans="1:7" x14ac:dyDescent="0.25">
      <c r="A288" s="1"/>
      <c r="B288" s="1"/>
      <c r="C288" s="1"/>
      <c r="D288" s="1"/>
      <c r="E288" s="1"/>
      <c r="F288" s="1"/>
      <c r="G288" s="1"/>
    </row>
    <row r="289" spans="1:7" x14ac:dyDescent="0.25">
      <c r="A289" s="1"/>
      <c r="B289" s="1"/>
      <c r="C289" s="1"/>
      <c r="D289" s="1"/>
      <c r="E289" s="1"/>
      <c r="F289" s="1"/>
      <c r="G289" s="1"/>
    </row>
    <row r="290" spans="1:7" x14ac:dyDescent="0.25">
      <c r="A290" s="1"/>
      <c r="B290" s="1"/>
      <c r="C290" s="1"/>
      <c r="D290" s="1"/>
      <c r="E290" s="1"/>
      <c r="F290" s="1"/>
      <c r="G290" s="1"/>
    </row>
    <row r="291" spans="1:7" x14ac:dyDescent="0.25">
      <c r="A291" s="1"/>
      <c r="B291" s="1"/>
      <c r="C291" s="1"/>
      <c r="D291" s="1"/>
      <c r="E291" s="1"/>
      <c r="F291" s="1"/>
      <c r="G291" s="1"/>
    </row>
    <row r="292" spans="1:7" x14ac:dyDescent="0.25">
      <c r="A292" s="1"/>
      <c r="B292" s="1"/>
      <c r="C292" s="1"/>
      <c r="D292" s="1"/>
      <c r="E292" s="1"/>
      <c r="F292" s="1"/>
      <c r="G292" s="1"/>
    </row>
    <row r="293" spans="1:7" x14ac:dyDescent="0.25">
      <c r="A293" s="1"/>
      <c r="B293" s="1"/>
      <c r="C293" s="1"/>
      <c r="D293" s="1"/>
      <c r="E293" s="1"/>
      <c r="F293" s="1"/>
      <c r="G293" s="1"/>
    </row>
    <row r="294" spans="1:7" x14ac:dyDescent="0.25">
      <c r="A294" s="1"/>
      <c r="B294" s="1"/>
      <c r="C294" s="1"/>
      <c r="D294" s="1"/>
      <c r="E294" s="1"/>
      <c r="F294" s="1"/>
      <c r="G294" s="1"/>
    </row>
    <row r="295" spans="1:7" x14ac:dyDescent="0.25">
      <c r="A295" s="1"/>
      <c r="B295" s="1"/>
      <c r="C295" s="1"/>
      <c r="D295" s="1"/>
      <c r="E295" s="1"/>
      <c r="F295" s="1"/>
      <c r="G295" s="1"/>
    </row>
    <row r="296" spans="1:7" x14ac:dyDescent="0.25">
      <c r="A296" s="1"/>
      <c r="B296" s="1"/>
      <c r="C296" s="1"/>
      <c r="D296" s="1"/>
      <c r="E296" s="1"/>
      <c r="F296" s="1"/>
      <c r="G296" s="1"/>
    </row>
    <row r="297" spans="1:7" x14ac:dyDescent="0.25">
      <c r="A297" s="1"/>
      <c r="B297" s="1"/>
      <c r="C297" s="1"/>
      <c r="D297" s="1"/>
      <c r="E297" s="1"/>
      <c r="F297" s="1"/>
      <c r="G297" s="1"/>
    </row>
    <row r="298" spans="1:7" x14ac:dyDescent="0.25">
      <c r="A298" s="1"/>
      <c r="B298" s="1"/>
      <c r="C298" s="1"/>
      <c r="D298" s="1"/>
      <c r="E298" s="1"/>
      <c r="F298" s="1"/>
      <c r="G298" s="1"/>
    </row>
    <row r="299" spans="1:7" x14ac:dyDescent="0.25">
      <c r="A299" s="1"/>
      <c r="B299" s="1"/>
      <c r="C299" s="1"/>
      <c r="D299" s="1"/>
      <c r="E299" s="1"/>
      <c r="F299" s="1"/>
      <c r="G299" s="1"/>
    </row>
    <row r="300" spans="1:7" x14ac:dyDescent="0.25">
      <c r="A300" s="1"/>
      <c r="B300" s="1"/>
      <c r="C300" s="1"/>
      <c r="D300" s="1"/>
      <c r="E300" s="1"/>
      <c r="F300" s="1"/>
      <c r="G300" s="1"/>
    </row>
    <row r="301" spans="1:7" x14ac:dyDescent="0.25">
      <c r="A301" s="1"/>
      <c r="B301" s="1"/>
      <c r="C301" s="1"/>
      <c r="D301" s="1"/>
      <c r="E301" s="1"/>
      <c r="F301" s="1"/>
      <c r="G301" s="1"/>
    </row>
    <row r="302" spans="1:7" x14ac:dyDescent="0.25">
      <c r="A302" s="1"/>
      <c r="B302" s="1"/>
      <c r="C302" s="1"/>
      <c r="D302" s="1"/>
      <c r="E302" s="1"/>
      <c r="F302" s="1"/>
      <c r="G302" s="1"/>
    </row>
    <row r="303" spans="1:7" x14ac:dyDescent="0.25">
      <c r="A303" s="1"/>
      <c r="B303" s="1"/>
      <c r="C303" s="1"/>
      <c r="D303" s="1"/>
      <c r="E303" s="1"/>
      <c r="F303" s="1"/>
      <c r="G303" s="1"/>
    </row>
    <row r="304" spans="1:7" x14ac:dyDescent="0.25">
      <c r="A304" s="1"/>
      <c r="B304" s="1"/>
      <c r="C304" s="1"/>
      <c r="D304" s="1"/>
      <c r="E304" s="1"/>
      <c r="F304" s="1"/>
      <c r="G304" s="1"/>
    </row>
    <row r="305" spans="1:7" x14ac:dyDescent="0.25">
      <c r="A305" s="1"/>
      <c r="B305" s="1"/>
      <c r="C305" s="1"/>
      <c r="D305" s="1"/>
      <c r="E305" s="1"/>
      <c r="F305" s="1"/>
      <c r="G305" s="1"/>
    </row>
    <row r="306" spans="1:7" x14ac:dyDescent="0.25">
      <c r="A306" s="1"/>
      <c r="B306" s="1"/>
      <c r="C306" s="1"/>
      <c r="D306" s="1"/>
      <c r="E306" s="1"/>
      <c r="F306" s="1"/>
      <c r="G306" s="1"/>
    </row>
    <row r="307" spans="1:7" x14ac:dyDescent="0.25">
      <c r="A307" s="1"/>
      <c r="B307" s="1"/>
      <c r="C307" s="1"/>
      <c r="D307" s="1"/>
      <c r="E307" s="1"/>
      <c r="F307" s="1"/>
      <c r="G307" s="1"/>
    </row>
    <row r="308" spans="1:7" x14ac:dyDescent="0.25">
      <c r="A308" s="1"/>
      <c r="B308" s="1"/>
      <c r="C308" s="1"/>
      <c r="D308" s="1"/>
      <c r="E308" s="1"/>
      <c r="F308" s="1"/>
      <c r="G308" s="1"/>
    </row>
    <row r="309" spans="1:7" x14ac:dyDescent="0.25">
      <c r="A309" s="1"/>
      <c r="B309" s="1"/>
      <c r="C309" s="1"/>
      <c r="D309" s="1"/>
      <c r="E309" s="1"/>
      <c r="F309" s="1"/>
      <c r="G309" s="1"/>
    </row>
    <row r="310" spans="1:7" x14ac:dyDescent="0.25">
      <c r="A310" s="1"/>
      <c r="B310" s="1"/>
      <c r="C310" s="1"/>
      <c r="D310" s="1"/>
      <c r="E310" s="1"/>
      <c r="F310" s="1"/>
      <c r="G310" s="1"/>
    </row>
    <row r="311" spans="1:7" x14ac:dyDescent="0.25">
      <c r="A311" s="1"/>
      <c r="B311" s="1"/>
      <c r="C311" s="1"/>
      <c r="D311" s="1"/>
      <c r="E311" s="1"/>
      <c r="F311" s="1"/>
      <c r="G311" s="1"/>
    </row>
    <row r="312" spans="1:7" x14ac:dyDescent="0.25">
      <c r="A312" s="1"/>
      <c r="B312" s="1"/>
      <c r="C312" s="1"/>
      <c r="D312" s="1"/>
      <c r="E312" s="1"/>
      <c r="F312" s="1"/>
      <c r="G312" s="1"/>
    </row>
    <row r="313" spans="1:7" x14ac:dyDescent="0.25">
      <c r="A313" s="1"/>
      <c r="B313" s="1"/>
      <c r="C313" s="1"/>
      <c r="D313" s="1"/>
      <c r="E313" s="1"/>
      <c r="F313" s="1"/>
      <c r="G313" s="1"/>
    </row>
    <row r="314" spans="1:7" x14ac:dyDescent="0.25">
      <c r="A314" s="1"/>
      <c r="B314" s="1"/>
      <c r="C314" s="1"/>
      <c r="D314" s="1"/>
      <c r="E314" s="1"/>
      <c r="F314" s="1"/>
      <c r="G314" s="1"/>
    </row>
    <row r="315" spans="1:7" x14ac:dyDescent="0.25">
      <c r="A315" s="1"/>
      <c r="B315" s="1"/>
      <c r="C315" s="1"/>
      <c r="D315" s="1"/>
      <c r="E315" s="1"/>
      <c r="F315" s="1"/>
      <c r="G315" s="1"/>
    </row>
    <row r="316" spans="1:7" x14ac:dyDescent="0.25">
      <c r="A316" s="1"/>
      <c r="B316" s="1"/>
      <c r="C316" s="1"/>
      <c r="D316" s="1"/>
      <c r="E316" s="1"/>
      <c r="F316" s="1"/>
      <c r="G316" s="1"/>
    </row>
    <row r="317" spans="1:7" x14ac:dyDescent="0.25">
      <c r="A317" s="1"/>
      <c r="B317" s="1"/>
      <c r="C317" s="1"/>
      <c r="D317" s="1"/>
      <c r="E317" s="1"/>
      <c r="F317" s="1"/>
      <c r="G317" s="1"/>
    </row>
    <row r="318" spans="1:7" x14ac:dyDescent="0.25">
      <c r="A318" s="1"/>
      <c r="B318" s="1"/>
      <c r="C318" s="1"/>
      <c r="D318" s="1"/>
      <c r="E318" s="1"/>
      <c r="F318" s="1"/>
      <c r="G318" s="1"/>
    </row>
    <row r="319" spans="1:7" x14ac:dyDescent="0.25">
      <c r="A319" s="1"/>
      <c r="B319" s="1"/>
      <c r="C319" s="1"/>
      <c r="D319" s="1"/>
      <c r="E319" s="1"/>
      <c r="F319" s="1"/>
      <c r="G319" s="1"/>
    </row>
    <row r="320" spans="1:7" x14ac:dyDescent="0.25">
      <c r="A320" s="1"/>
      <c r="B320" s="1"/>
      <c r="C320" s="1"/>
      <c r="D320" s="1"/>
      <c r="E320" s="1"/>
      <c r="F320" s="1"/>
      <c r="G320" s="1"/>
    </row>
    <row r="321" spans="1:7" x14ac:dyDescent="0.25">
      <c r="A321" s="1"/>
      <c r="B321" s="1"/>
      <c r="C321" s="1"/>
      <c r="D321" s="1"/>
      <c r="E321" s="1"/>
      <c r="F321" s="1"/>
      <c r="G321" s="1"/>
    </row>
    <row r="322" spans="1:7" x14ac:dyDescent="0.25">
      <c r="A322" s="1"/>
      <c r="B322" s="1"/>
      <c r="C322" s="1"/>
      <c r="D322" s="1"/>
      <c r="E322" s="1"/>
      <c r="F322" s="1"/>
      <c r="G322" s="1"/>
    </row>
    <row r="323" spans="1:7" x14ac:dyDescent="0.25">
      <c r="A323" s="1"/>
      <c r="B323" s="1"/>
      <c r="C323" s="1"/>
      <c r="D323" s="1"/>
      <c r="E323" s="1"/>
      <c r="F323" s="1"/>
      <c r="G323" s="1"/>
    </row>
    <row r="324" spans="1:7" x14ac:dyDescent="0.25">
      <c r="A324" s="1"/>
      <c r="B324" s="1"/>
      <c r="C324" s="1"/>
      <c r="D324" s="1"/>
      <c r="E324" s="1"/>
      <c r="F324" s="1"/>
      <c r="G324" s="1"/>
    </row>
    <row r="325" spans="1:7" x14ac:dyDescent="0.25">
      <c r="A325" s="1"/>
      <c r="B325" s="1"/>
      <c r="C325" s="1"/>
      <c r="D325" s="1"/>
      <c r="E325" s="1"/>
      <c r="F325" s="1"/>
      <c r="G325" s="1"/>
    </row>
    <row r="326" spans="1:7" x14ac:dyDescent="0.25">
      <c r="A326" s="1"/>
      <c r="B326" s="1"/>
      <c r="C326" s="1"/>
      <c r="D326" s="1"/>
      <c r="E326" s="1"/>
      <c r="F326" s="1"/>
      <c r="G326" s="1"/>
    </row>
    <row r="327" spans="1:7" x14ac:dyDescent="0.25">
      <c r="A327" s="1"/>
      <c r="B327" s="1"/>
      <c r="C327" s="1"/>
      <c r="D327" s="1"/>
      <c r="E327" s="1"/>
      <c r="F327" s="1"/>
      <c r="G327" s="1"/>
    </row>
    <row r="328" spans="1:7" x14ac:dyDescent="0.25">
      <c r="A328" s="1"/>
      <c r="B328" s="1"/>
      <c r="C328" s="1"/>
      <c r="D328" s="1"/>
      <c r="E328" s="1"/>
      <c r="F328" s="1"/>
      <c r="G328" s="1"/>
    </row>
    <row r="329" spans="1:7" x14ac:dyDescent="0.25">
      <c r="A329" s="1"/>
      <c r="B329" s="1"/>
      <c r="C329" s="1"/>
      <c r="D329" s="1"/>
      <c r="E329" s="1"/>
      <c r="F329" s="1"/>
      <c r="G329" s="1"/>
    </row>
    <row r="330" spans="1:7" x14ac:dyDescent="0.25">
      <c r="A330" s="1"/>
      <c r="B330" s="1"/>
      <c r="C330" s="1"/>
      <c r="D330" s="1"/>
      <c r="E330" s="1"/>
      <c r="F330" s="1"/>
      <c r="G330" s="1"/>
    </row>
    <row r="331" spans="1:7" x14ac:dyDescent="0.25">
      <c r="A331" s="1"/>
      <c r="B331" s="1"/>
      <c r="C331" s="1"/>
      <c r="D331" s="1"/>
      <c r="E331" s="1"/>
      <c r="F331" s="1"/>
      <c r="G331" s="1"/>
    </row>
    <row r="332" spans="1:7" x14ac:dyDescent="0.25">
      <c r="A332" s="1"/>
      <c r="B332" s="1"/>
      <c r="C332" s="1"/>
      <c r="D332" s="1"/>
      <c r="E332" s="1"/>
      <c r="F332" s="1"/>
      <c r="G332" s="1"/>
    </row>
    <row r="333" spans="1:7" x14ac:dyDescent="0.25">
      <c r="A333" s="1"/>
      <c r="B333" s="1"/>
      <c r="C333" s="1"/>
      <c r="D333" s="1"/>
      <c r="E333" s="1"/>
      <c r="F333" s="1"/>
      <c r="G333" s="1"/>
    </row>
    <row r="334" spans="1:7" x14ac:dyDescent="0.25">
      <c r="A334" s="1"/>
      <c r="B334" s="1"/>
      <c r="C334" s="1"/>
      <c r="D334" s="1"/>
      <c r="E334" s="1"/>
      <c r="F334" s="1"/>
      <c r="G334" s="1"/>
    </row>
    <row r="335" spans="1:7" x14ac:dyDescent="0.25">
      <c r="A335" s="1"/>
      <c r="B335" s="1"/>
      <c r="C335" s="1"/>
      <c r="D335" s="1"/>
      <c r="E335" s="1"/>
      <c r="F335" s="1"/>
      <c r="G335" s="1"/>
    </row>
    <row r="336" spans="1:7" x14ac:dyDescent="0.25">
      <c r="A336" s="1"/>
      <c r="B336" s="1"/>
      <c r="C336" s="1"/>
      <c r="D336" s="1"/>
      <c r="E336" s="1"/>
      <c r="F336" s="1"/>
      <c r="G336" s="1"/>
    </row>
    <row r="337" spans="1:7" x14ac:dyDescent="0.25">
      <c r="A337" s="1"/>
      <c r="B337" s="1"/>
      <c r="C337" s="1"/>
      <c r="D337" s="1"/>
      <c r="E337" s="1"/>
      <c r="F337" s="1"/>
      <c r="G337" s="1"/>
    </row>
    <row r="338" spans="1:7" x14ac:dyDescent="0.25">
      <c r="A338" s="1"/>
      <c r="B338" s="1"/>
      <c r="C338" s="1"/>
      <c r="D338" s="1"/>
      <c r="E338" s="1"/>
      <c r="F338" s="1"/>
      <c r="G338" s="1"/>
    </row>
    <row r="339" spans="1:7" x14ac:dyDescent="0.25">
      <c r="A339" s="1"/>
      <c r="B339" s="1"/>
      <c r="C339" s="1"/>
      <c r="D339" s="1"/>
      <c r="E339" s="1"/>
      <c r="F339" s="1"/>
      <c r="G339" s="1"/>
    </row>
    <row r="340" spans="1:7" x14ac:dyDescent="0.25">
      <c r="A340" s="1"/>
      <c r="B340" s="1"/>
      <c r="C340" s="1"/>
      <c r="D340" s="1"/>
      <c r="E340" s="1"/>
      <c r="F340" s="1"/>
      <c r="G340" s="1"/>
    </row>
    <row r="341" spans="1:7" x14ac:dyDescent="0.25">
      <c r="A341" s="1"/>
      <c r="B341" s="1"/>
      <c r="C341" s="1"/>
      <c r="D341" s="1"/>
      <c r="E341" s="1"/>
      <c r="F341" s="1"/>
      <c r="G341" s="1"/>
    </row>
    <row r="342" spans="1:7" x14ac:dyDescent="0.25">
      <c r="A342" s="1"/>
      <c r="B342" s="1"/>
      <c r="C342" s="1"/>
      <c r="D342" s="1"/>
      <c r="E342" s="1"/>
      <c r="F342" s="1"/>
      <c r="G342" s="1"/>
    </row>
    <row r="343" spans="1:7" x14ac:dyDescent="0.25">
      <c r="A343" s="1"/>
      <c r="B343" s="1"/>
      <c r="C343" s="1"/>
      <c r="D343" s="1"/>
      <c r="E343" s="1"/>
      <c r="F343" s="1"/>
      <c r="G343" s="1"/>
    </row>
    <row r="344" spans="1:7" x14ac:dyDescent="0.25">
      <c r="A344" s="1"/>
      <c r="B344" s="1"/>
      <c r="C344" s="1"/>
      <c r="D344" s="1"/>
      <c r="E344" s="1"/>
      <c r="F344" s="1"/>
      <c r="G344" s="1"/>
    </row>
    <row r="345" spans="1:7" x14ac:dyDescent="0.25">
      <c r="A345" s="1"/>
      <c r="B345" s="1"/>
      <c r="C345" s="1"/>
      <c r="D345" s="1"/>
      <c r="E345" s="1"/>
      <c r="F345" s="1"/>
      <c r="G345" s="1"/>
    </row>
    <row r="346" spans="1:7" x14ac:dyDescent="0.25">
      <c r="A346" s="1"/>
      <c r="B346" s="1"/>
      <c r="C346" s="1"/>
      <c r="D346" s="1"/>
      <c r="E346" s="1"/>
      <c r="F346" s="1"/>
      <c r="G346" s="1"/>
    </row>
    <row r="347" spans="1:7" x14ac:dyDescent="0.25">
      <c r="A347" s="1"/>
      <c r="B347" s="1"/>
      <c r="C347" s="1"/>
      <c r="D347" s="1"/>
      <c r="E347" s="1"/>
      <c r="F347" s="1"/>
      <c r="G347" s="1"/>
    </row>
    <row r="348" spans="1:7" x14ac:dyDescent="0.25">
      <c r="A348" s="1"/>
      <c r="B348" s="1"/>
      <c r="C348" s="1"/>
      <c r="D348" s="1"/>
      <c r="E348" s="1"/>
      <c r="F348" s="1"/>
      <c r="G348" s="1"/>
    </row>
    <row r="349" spans="1:7" x14ac:dyDescent="0.25">
      <c r="A349" s="1"/>
      <c r="B349" s="1"/>
      <c r="C349" s="1"/>
      <c r="D349" s="1"/>
      <c r="E349" s="1"/>
      <c r="F349" s="1"/>
      <c r="G349" s="1"/>
    </row>
    <row r="350" spans="1:7" x14ac:dyDescent="0.25">
      <c r="A350" s="1"/>
      <c r="B350" s="1"/>
      <c r="C350" s="1"/>
      <c r="D350" s="1"/>
      <c r="E350" s="1"/>
      <c r="F350" s="1"/>
      <c r="G350" s="1"/>
    </row>
    <row r="351" spans="1:7" x14ac:dyDescent="0.25">
      <c r="A351" s="1"/>
      <c r="B351" s="1"/>
      <c r="C351" s="1"/>
      <c r="D351" s="1"/>
      <c r="E351" s="1"/>
      <c r="F351" s="1"/>
      <c r="G351" s="1"/>
    </row>
    <row r="352" spans="1:7" x14ac:dyDescent="0.25">
      <c r="A352" s="1"/>
      <c r="B352" s="1"/>
      <c r="C352" s="1"/>
      <c r="D352" s="1"/>
      <c r="E352" s="1"/>
      <c r="F352" s="1"/>
      <c r="G352" s="1"/>
    </row>
    <row r="353" spans="1:7" x14ac:dyDescent="0.25">
      <c r="A353" s="1"/>
      <c r="B353" s="1"/>
      <c r="C353" s="1"/>
      <c r="D353" s="1"/>
      <c r="E353" s="1"/>
      <c r="F353" s="1"/>
      <c r="G353" s="1"/>
    </row>
    <row r="354" spans="1:7" x14ac:dyDescent="0.25">
      <c r="A354" s="1"/>
      <c r="B354" s="1"/>
      <c r="C354" s="1"/>
      <c r="D354" s="1"/>
      <c r="E354" s="1"/>
      <c r="F354" s="1"/>
      <c r="G354" s="1"/>
    </row>
    <row r="355" spans="1:7" x14ac:dyDescent="0.25">
      <c r="A355" s="1"/>
      <c r="B355" s="1"/>
      <c r="C355" s="1"/>
      <c r="D355" s="1"/>
      <c r="E355" s="1"/>
      <c r="F355" s="1"/>
      <c r="G355" s="1"/>
    </row>
    <row r="356" spans="1:7" x14ac:dyDescent="0.25">
      <c r="A356" s="1"/>
      <c r="B356" s="1"/>
      <c r="C356" s="1"/>
      <c r="D356" s="1"/>
      <c r="E356" s="1"/>
      <c r="F356" s="1"/>
      <c r="G356" s="1"/>
    </row>
    <row r="357" spans="1:7" x14ac:dyDescent="0.25">
      <c r="A357" s="1"/>
      <c r="B357" s="1"/>
      <c r="C357" s="1"/>
      <c r="D357" s="1"/>
      <c r="E357" s="1"/>
      <c r="F357" s="1"/>
      <c r="G357" s="1"/>
    </row>
    <row r="358" spans="1:7" x14ac:dyDescent="0.25">
      <c r="A358" s="1"/>
      <c r="B358" s="1"/>
      <c r="C358" s="1"/>
      <c r="D358" s="1"/>
      <c r="E358" s="1"/>
      <c r="F358" s="1"/>
      <c r="G358" s="1"/>
    </row>
    <row r="359" spans="1:7" x14ac:dyDescent="0.25">
      <c r="A359" s="1"/>
      <c r="B359" s="1"/>
      <c r="C359" s="1"/>
      <c r="D359" s="1"/>
      <c r="E359" s="1"/>
      <c r="F359" s="1"/>
      <c r="G359" s="1"/>
    </row>
    <row r="360" spans="1:7" x14ac:dyDescent="0.25">
      <c r="A360" s="1"/>
      <c r="B360" s="1"/>
      <c r="C360" s="1"/>
      <c r="D360" s="1"/>
      <c r="E360" s="1"/>
      <c r="F360" s="1"/>
      <c r="G360" s="1"/>
    </row>
    <row r="361" spans="1:7" x14ac:dyDescent="0.25">
      <c r="A361" s="1"/>
      <c r="B361" s="1"/>
      <c r="C361" s="1"/>
      <c r="D361" s="1"/>
      <c r="E361" s="1"/>
      <c r="F361" s="1"/>
      <c r="G361" s="1"/>
    </row>
    <row r="362" spans="1:7" x14ac:dyDescent="0.25">
      <c r="A362" s="1"/>
      <c r="B362" s="1"/>
      <c r="C362" s="1"/>
      <c r="D362" s="1"/>
      <c r="E362" s="1"/>
      <c r="F362" s="1"/>
      <c r="G362" s="1"/>
    </row>
    <row r="363" spans="1:7" x14ac:dyDescent="0.25">
      <c r="A363" s="1"/>
      <c r="B363" s="1"/>
      <c r="C363" s="1"/>
      <c r="D363" s="1"/>
      <c r="E363" s="1"/>
      <c r="F363" s="1"/>
      <c r="G363" s="1"/>
    </row>
    <row r="364" spans="1:7" x14ac:dyDescent="0.25">
      <c r="A364" s="1"/>
      <c r="B364" s="1"/>
      <c r="C364" s="1"/>
      <c r="D364" s="1"/>
      <c r="E364" s="1"/>
      <c r="F364" s="1"/>
      <c r="G364" s="1"/>
    </row>
    <row r="365" spans="1:7" x14ac:dyDescent="0.25">
      <c r="A365" s="1"/>
      <c r="B365" s="1"/>
      <c r="C365" s="1"/>
      <c r="D365" s="1"/>
      <c r="E365" s="1"/>
      <c r="F365" s="1"/>
      <c r="G365" s="1"/>
    </row>
    <row r="366" spans="1:7" x14ac:dyDescent="0.25">
      <c r="A366" s="1"/>
      <c r="B366" s="1"/>
      <c r="C366" s="1"/>
      <c r="D366" s="1"/>
      <c r="E366" s="1"/>
      <c r="F366" s="1"/>
      <c r="G366" s="1"/>
    </row>
    <row r="367" spans="1:7" x14ac:dyDescent="0.25">
      <c r="A367" s="1"/>
      <c r="B367" s="1"/>
      <c r="C367" s="1"/>
      <c r="D367" s="1"/>
      <c r="E367" s="1"/>
      <c r="F367" s="1"/>
      <c r="G367" s="1"/>
    </row>
    <row r="368" spans="1:7" x14ac:dyDescent="0.25">
      <c r="A368" s="1"/>
      <c r="B368" s="1"/>
      <c r="C368" s="1"/>
      <c r="D368" s="1"/>
      <c r="E368" s="1"/>
      <c r="F368" s="1"/>
      <c r="G368" s="1"/>
    </row>
    <row r="369" spans="1:7" x14ac:dyDescent="0.25">
      <c r="A369" s="1"/>
      <c r="B369" s="1"/>
      <c r="C369" s="1"/>
      <c r="D369" s="1"/>
      <c r="E369" s="1"/>
      <c r="F369" s="1"/>
      <c r="G369" s="1"/>
    </row>
    <row r="370" spans="1:7" x14ac:dyDescent="0.25">
      <c r="A370" s="1"/>
      <c r="B370" s="1"/>
      <c r="C370" s="1"/>
      <c r="D370" s="1"/>
      <c r="E370" s="1"/>
      <c r="F370" s="1"/>
      <c r="G370" s="1"/>
    </row>
    <row r="371" spans="1:7" x14ac:dyDescent="0.25">
      <c r="A371" s="1"/>
      <c r="B371" s="1"/>
      <c r="C371" s="1"/>
      <c r="D371" s="1"/>
      <c r="E371" s="1"/>
      <c r="F371" s="1"/>
      <c r="G371" s="1"/>
    </row>
    <row r="372" spans="1:7" x14ac:dyDescent="0.25">
      <c r="A372" s="1"/>
      <c r="B372" s="1"/>
      <c r="C372" s="1"/>
      <c r="D372" s="1"/>
      <c r="E372" s="1"/>
      <c r="F372" s="1"/>
      <c r="G372" s="1"/>
    </row>
    <row r="373" spans="1:7" x14ac:dyDescent="0.25">
      <c r="A373" s="1"/>
      <c r="B373" s="1"/>
      <c r="C373" s="1"/>
      <c r="D373" s="1"/>
      <c r="E373" s="1"/>
      <c r="F373" s="1"/>
      <c r="G373" s="1"/>
    </row>
    <row r="374" spans="1:7" x14ac:dyDescent="0.25">
      <c r="A374" s="1"/>
      <c r="B374" s="1"/>
      <c r="C374" s="1"/>
      <c r="D374" s="1"/>
      <c r="E374" s="1"/>
      <c r="F374" s="1"/>
      <c r="G374" s="1"/>
    </row>
    <row r="375" spans="1:7" x14ac:dyDescent="0.25">
      <c r="A375" s="1"/>
      <c r="B375" s="1"/>
      <c r="C375" s="1"/>
      <c r="D375" s="1"/>
      <c r="E375" s="1"/>
      <c r="F375" s="1"/>
      <c r="G375" s="1"/>
    </row>
    <row r="376" spans="1:7" x14ac:dyDescent="0.25">
      <c r="A376" s="1"/>
      <c r="B376" s="1"/>
      <c r="C376" s="1"/>
      <c r="D376" s="1"/>
      <c r="E376" s="1"/>
      <c r="F376" s="1"/>
      <c r="G376" s="1"/>
    </row>
    <row r="377" spans="1:7" x14ac:dyDescent="0.25">
      <c r="A377" s="1"/>
      <c r="B377" s="1"/>
      <c r="C377" s="1"/>
      <c r="D377" s="1"/>
      <c r="E377" s="1"/>
      <c r="F377" s="1"/>
      <c r="G377" s="1"/>
    </row>
    <row r="378" spans="1:7" x14ac:dyDescent="0.25">
      <c r="A378" s="1"/>
      <c r="B378" s="1"/>
      <c r="C378" s="1"/>
      <c r="D378" s="1"/>
      <c r="E378" s="1"/>
      <c r="F378" s="1"/>
      <c r="G378" s="1"/>
    </row>
    <row r="379" spans="1:7" x14ac:dyDescent="0.25">
      <c r="A379" s="1"/>
      <c r="B379" s="1"/>
      <c r="C379" s="1"/>
      <c r="D379" s="1"/>
      <c r="E379" s="1"/>
      <c r="F379" s="1"/>
      <c r="G379" s="1"/>
    </row>
    <row r="380" spans="1:7" x14ac:dyDescent="0.25">
      <c r="A380" s="1"/>
      <c r="B380" s="1"/>
      <c r="C380" s="1"/>
      <c r="D380" s="1"/>
      <c r="E380" s="1"/>
      <c r="F380" s="1"/>
      <c r="G380" s="1"/>
    </row>
    <row r="381" spans="1:7" x14ac:dyDescent="0.25">
      <c r="A381" s="1"/>
      <c r="B381" s="1"/>
      <c r="C381" s="1"/>
      <c r="D381" s="1"/>
      <c r="E381" s="1"/>
      <c r="F381" s="1"/>
      <c r="G381" s="1"/>
    </row>
    <row r="382" spans="1:7" x14ac:dyDescent="0.25">
      <c r="A382" s="1"/>
      <c r="B382" s="1"/>
      <c r="C382" s="1"/>
      <c r="D382" s="1"/>
      <c r="E382" s="1"/>
      <c r="F382" s="1"/>
      <c r="G382" s="1"/>
    </row>
    <row r="383" spans="1:7" x14ac:dyDescent="0.25">
      <c r="A383" s="1"/>
      <c r="B383" s="1"/>
      <c r="C383" s="1"/>
      <c r="D383" s="1"/>
      <c r="E383" s="1"/>
      <c r="F383" s="1"/>
      <c r="G383" s="1"/>
    </row>
    <row r="384" spans="1:7" x14ac:dyDescent="0.25">
      <c r="A384" s="1"/>
      <c r="B384" s="1"/>
      <c r="C384" s="1"/>
      <c r="D384" s="1"/>
      <c r="E384" s="1"/>
      <c r="F384" s="1"/>
      <c r="G384" s="1"/>
    </row>
    <row r="385" spans="1:7" x14ac:dyDescent="0.25">
      <c r="A385" s="1"/>
      <c r="B385" s="1"/>
      <c r="C385" s="1"/>
      <c r="D385" s="1"/>
      <c r="E385" s="1"/>
      <c r="F385" s="1"/>
      <c r="G385" s="1"/>
    </row>
    <row r="386" spans="1:7" x14ac:dyDescent="0.25">
      <c r="A386" s="1"/>
      <c r="B386" s="1"/>
      <c r="C386" s="1"/>
      <c r="D386" s="1"/>
      <c r="E386" s="1"/>
      <c r="F386" s="1"/>
      <c r="G386" s="1"/>
    </row>
    <row r="387" spans="1:7" x14ac:dyDescent="0.25">
      <c r="A387" s="1"/>
      <c r="B387" s="1"/>
      <c r="C387" s="1"/>
      <c r="D387" s="1"/>
      <c r="E387" s="1"/>
      <c r="F387" s="1"/>
      <c r="G387" s="1"/>
    </row>
    <row r="388" spans="1:7" x14ac:dyDescent="0.25">
      <c r="A388" s="1"/>
      <c r="B388" s="1"/>
      <c r="C388" s="1"/>
      <c r="D388" s="1"/>
      <c r="E388" s="1"/>
      <c r="F388" s="1"/>
      <c r="G388" s="1"/>
    </row>
    <row r="389" spans="1:7" x14ac:dyDescent="0.25">
      <c r="A389" s="1"/>
      <c r="B389" s="1"/>
      <c r="C389" s="1"/>
      <c r="D389" s="1"/>
      <c r="E389" s="1"/>
      <c r="F389" s="1"/>
      <c r="G389" s="1"/>
    </row>
    <row r="390" spans="1:7" x14ac:dyDescent="0.25">
      <c r="A390" s="1"/>
      <c r="B390" s="1"/>
      <c r="C390" s="1"/>
      <c r="D390" s="1"/>
      <c r="E390" s="1"/>
      <c r="F390" s="1"/>
      <c r="G390" s="1"/>
    </row>
    <row r="391" spans="1:7" x14ac:dyDescent="0.25">
      <c r="A391" s="1"/>
      <c r="B391" s="1"/>
      <c r="C391" s="1"/>
      <c r="D391" s="1"/>
      <c r="E391" s="1"/>
      <c r="F391" s="1"/>
      <c r="G391" s="1"/>
    </row>
    <row r="392" spans="1:7" x14ac:dyDescent="0.25">
      <c r="A392" s="1"/>
      <c r="B392" s="1"/>
      <c r="C392" s="1"/>
      <c r="D392" s="1"/>
      <c r="E392" s="1"/>
      <c r="F392" s="1"/>
      <c r="G392" s="1"/>
    </row>
    <row r="393" spans="1:7" x14ac:dyDescent="0.25">
      <c r="A393" s="1"/>
      <c r="B393" s="1"/>
      <c r="C393" s="1"/>
      <c r="D393" s="1"/>
      <c r="E393" s="1"/>
      <c r="F393" s="1"/>
      <c r="G393" s="1"/>
    </row>
    <row r="394" spans="1:7" x14ac:dyDescent="0.25">
      <c r="A394" s="1"/>
      <c r="B394" s="1"/>
      <c r="C394" s="1"/>
      <c r="D394" s="1"/>
      <c r="E394" s="1"/>
      <c r="F394" s="1"/>
      <c r="G394" s="1"/>
    </row>
    <row r="395" spans="1:7" x14ac:dyDescent="0.25">
      <c r="A395" s="1"/>
      <c r="B395" s="1"/>
      <c r="C395" s="1"/>
      <c r="D395" s="1"/>
      <c r="E395" s="1"/>
      <c r="F395" s="1"/>
      <c r="G395" s="1"/>
    </row>
    <row r="396" spans="1:7" x14ac:dyDescent="0.25">
      <c r="A396" s="1"/>
      <c r="B396" s="1"/>
      <c r="C396" s="1"/>
      <c r="D396" s="1"/>
      <c r="E396" s="1"/>
      <c r="F396" s="1"/>
      <c r="G396" s="1"/>
    </row>
    <row r="397" spans="1:7" x14ac:dyDescent="0.25">
      <c r="A397" s="1"/>
      <c r="B397" s="1"/>
      <c r="C397" s="1"/>
      <c r="D397" s="1"/>
      <c r="E397" s="1"/>
      <c r="F397" s="1"/>
      <c r="G397" s="1"/>
    </row>
    <row r="398" spans="1:7" x14ac:dyDescent="0.25">
      <c r="A398" s="1"/>
      <c r="B398" s="1"/>
      <c r="C398" s="1"/>
      <c r="D398" s="1"/>
      <c r="E398" s="1"/>
      <c r="F398" s="1"/>
      <c r="G398" s="1"/>
    </row>
    <row r="399" spans="1:7" x14ac:dyDescent="0.25">
      <c r="A399" s="1"/>
      <c r="B399" s="1"/>
      <c r="C399" s="1"/>
      <c r="D399" s="1"/>
      <c r="E399" s="1"/>
      <c r="F399" s="1"/>
      <c r="G399" s="1"/>
    </row>
    <row r="400" spans="1:7" x14ac:dyDescent="0.25">
      <c r="A400" s="1"/>
      <c r="B400" s="1"/>
      <c r="C400" s="1"/>
      <c r="D400" s="1"/>
      <c r="E400" s="1"/>
      <c r="F400" s="1"/>
      <c r="G400" s="1"/>
    </row>
    <row r="401" spans="1:7" x14ac:dyDescent="0.25">
      <c r="A401" s="1"/>
      <c r="B401" s="1"/>
      <c r="C401" s="1"/>
      <c r="D401" s="1"/>
      <c r="E401" s="1"/>
      <c r="F401" s="1"/>
      <c r="G401" s="1"/>
    </row>
    <row r="402" spans="1:7" x14ac:dyDescent="0.25">
      <c r="A402" s="1"/>
      <c r="B402" s="1"/>
      <c r="C402" s="1"/>
      <c r="D402" s="1"/>
      <c r="E402" s="1"/>
      <c r="F402" s="1"/>
      <c r="G402" s="1"/>
    </row>
    <row r="403" spans="1:7" x14ac:dyDescent="0.25">
      <c r="A403" s="1"/>
      <c r="B403" s="1"/>
      <c r="C403" s="1"/>
      <c r="D403" s="1"/>
      <c r="E403" s="1"/>
      <c r="F403" s="1"/>
      <c r="G403" s="1"/>
    </row>
    <row r="404" spans="1:7" x14ac:dyDescent="0.25">
      <c r="A404" s="1"/>
      <c r="B404" s="1"/>
      <c r="C404" s="1"/>
      <c r="D404" s="1"/>
      <c r="E404" s="1"/>
      <c r="F404" s="1"/>
      <c r="G404" s="1"/>
    </row>
    <row r="405" spans="1:7" x14ac:dyDescent="0.25">
      <c r="A405" s="1"/>
      <c r="B405" s="1"/>
      <c r="C405" s="1"/>
      <c r="D405" s="1"/>
      <c r="E405" s="1"/>
      <c r="F405" s="1"/>
      <c r="G405" s="1"/>
    </row>
    <row r="406" spans="1:7" x14ac:dyDescent="0.25">
      <c r="A406" s="1"/>
      <c r="B406" s="1"/>
      <c r="C406" s="1"/>
      <c r="D406" s="1"/>
      <c r="E406" s="1"/>
      <c r="F406" s="1"/>
      <c r="G406" s="1"/>
    </row>
    <row r="407" spans="1:7" x14ac:dyDescent="0.25">
      <c r="A407" s="1"/>
      <c r="B407" s="1"/>
      <c r="C407" s="1"/>
      <c r="D407" s="1"/>
      <c r="E407" s="1"/>
      <c r="F407" s="1"/>
      <c r="G407" s="1"/>
    </row>
    <row r="408" spans="1:7" x14ac:dyDescent="0.25">
      <c r="A408" s="1"/>
      <c r="B408" s="1"/>
      <c r="C408" s="1"/>
      <c r="D408" s="1"/>
      <c r="E408" s="1"/>
      <c r="F408" s="1"/>
      <c r="G408" s="1"/>
    </row>
    <row r="409" spans="1:7" x14ac:dyDescent="0.25">
      <c r="A409" s="1"/>
      <c r="B409" s="1"/>
      <c r="C409" s="1"/>
      <c r="D409" s="1"/>
      <c r="E409" s="1"/>
      <c r="F409" s="1"/>
      <c r="G409" s="1"/>
    </row>
    <row r="410" spans="1:7" x14ac:dyDescent="0.25">
      <c r="A410" s="1"/>
      <c r="B410" s="1"/>
      <c r="C410" s="1"/>
      <c r="D410" s="1"/>
      <c r="E410" s="1"/>
      <c r="F410" s="1"/>
      <c r="G410" s="1"/>
    </row>
    <row r="411" spans="1:7" x14ac:dyDescent="0.25">
      <c r="A411" s="1"/>
      <c r="B411" s="1"/>
      <c r="C411" s="1"/>
      <c r="D411" s="1"/>
      <c r="E411" s="1"/>
      <c r="F411" s="1"/>
      <c r="G411" s="1"/>
    </row>
    <row r="412" spans="1:7" x14ac:dyDescent="0.25">
      <c r="A412" s="1"/>
      <c r="B412" s="1"/>
      <c r="C412" s="1"/>
      <c r="D412" s="1"/>
      <c r="E412" s="1"/>
      <c r="F412" s="1"/>
      <c r="G412" s="1"/>
    </row>
    <row r="413" spans="1:7" x14ac:dyDescent="0.25">
      <c r="A413" s="1"/>
      <c r="B413" s="1"/>
      <c r="C413" s="1"/>
      <c r="D413" s="1"/>
      <c r="E413" s="1"/>
      <c r="F413" s="1"/>
      <c r="G413" s="1"/>
    </row>
    <row r="414" spans="1:7" x14ac:dyDescent="0.25">
      <c r="A414" s="1"/>
      <c r="B414" s="1"/>
      <c r="C414" s="1"/>
      <c r="D414" s="1"/>
      <c r="E414" s="1"/>
      <c r="F414" s="1"/>
      <c r="G414" s="1"/>
    </row>
    <row r="415" spans="1:7" x14ac:dyDescent="0.25">
      <c r="A415" s="1"/>
      <c r="B415" s="1"/>
      <c r="C415" s="1"/>
      <c r="D415" s="1"/>
      <c r="E415" s="1"/>
      <c r="F415" s="1"/>
      <c r="G415" s="1"/>
    </row>
    <row r="416" spans="1:7" x14ac:dyDescent="0.25">
      <c r="A416" s="1"/>
      <c r="B416" s="1"/>
      <c r="C416" s="1"/>
      <c r="D416" s="1"/>
      <c r="E416" s="1"/>
      <c r="F416" s="1"/>
      <c r="G416" s="1"/>
    </row>
  </sheetData>
  <mergeCells count="1">
    <mergeCell ref="B1:F1"/>
  </mergeCells>
  <phoneticPr fontId="56" type="noConversion"/>
  <pageMargins left="0.7" right="0.7" top="0.75" bottom="0.75" header="0.3" footer="0.3"/>
  <pageSetup orientation="landscape" r:id="rId1"/>
  <drawing r:id="rId2"/>
  <tableParts count="5"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1ACA1-92F5-41C7-9ADF-C58908809702}">
  <dimension ref="A1:F28"/>
  <sheetViews>
    <sheetView topLeftCell="A2" zoomScale="130" zoomScaleNormal="130" workbookViewId="0">
      <selection activeCell="E27" sqref="E27"/>
    </sheetView>
  </sheetViews>
  <sheetFormatPr defaultRowHeight="15" x14ac:dyDescent="0.25"/>
  <cols>
    <col min="1" max="1" width="42.85546875" style="101" customWidth="1"/>
    <col min="2" max="2" width="25.85546875" customWidth="1"/>
    <col min="3" max="3" width="18.7109375" customWidth="1"/>
    <col min="4" max="4" width="24.42578125" customWidth="1"/>
    <col min="5" max="5" width="20.7109375" customWidth="1"/>
    <col min="6" max="6" width="24.85546875" customWidth="1"/>
  </cols>
  <sheetData>
    <row r="1" spans="1:6" x14ac:dyDescent="0.25">
      <c r="A1" s="250" t="s">
        <v>159</v>
      </c>
      <c r="B1" s="13"/>
      <c r="C1" s="11"/>
      <c r="D1" s="105"/>
      <c r="E1" s="62"/>
      <c r="F1" s="156"/>
    </row>
    <row r="2" spans="1:6" ht="18" x14ac:dyDescent="0.4">
      <c r="A2" s="250"/>
      <c r="B2" s="110" t="s">
        <v>193</v>
      </c>
      <c r="C2" s="111" t="s">
        <v>194</v>
      </c>
      <c r="D2" s="112" t="s">
        <v>227</v>
      </c>
      <c r="E2" s="113" t="s">
        <v>195</v>
      </c>
      <c r="F2" s="160" t="s">
        <v>197</v>
      </c>
    </row>
    <row r="3" spans="1:6" x14ac:dyDescent="0.25">
      <c r="A3" s="250"/>
      <c r="B3" s="106"/>
      <c r="C3" s="107"/>
      <c r="D3" s="108"/>
      <c r="E3" s="109"/>
      <c r="F3" s="156"/>
    </row>
    <row r="4" spans="1:6" x14ac:dyDescent="0.25">
      <c r="A4" s="224" t="s">
        <v>199</v>
      </c>
      <c r="B4" s="16">
        <v>244.74</v>
      </c>
      <c r="C4" s="54">
        <v>34</v>
      </c>
      <c r="D4" s="55">
        <f>(C4/8)*12</f>
        <v>51</v>
      </c>
      <c r="E4" s="6">
        <v>50</v>
      </c>
      <c r="F4" s="170">
        <f>(E4-B4)/B4</f>
        <v>-0.79570156084007515</v>
      </c>
    </row>
    <row r="5" spans="1:6" x14ac:dyDescent="0.25">
      <c r="A5" s="224" t="s">
        <v>11</v>
      </c>
      <c r="B5" s="16">
        <v>758.40000000000009</v>
      </c>
      <c r="C5" s="54">
        <v>332</v>
      </c>
      <c r="D5" s="55">
        <f t="shared" ref="D5:D26" si="0">(C5/8)*12</f>
        <v>498</v>
      </c>
      <c r="E5" s="6">
        <v>500</v>
      </c>
      <c r="F5" s="170">
        <f t="shared" ref="F5:F24" si="1">(E5-B5)/B5</f>
        <v>-0.34071729957805913</v>
      </c>
    </row>
    <row r="6" spans="1:6" x14ac:dyDescent="0.25">
      <c r="A6" s="224" t="s">
        <v>12</v>
      </c>
      <c r="B6" s="16">
        <v>0</v>
      </c>
      <c r="C6" s="54">
        <v>0</v>
      </c>
      <c r="D6" s="55">
        <f t="shared" si="0"/>
        <v>0</v>
      </c>
      <c r="E6" s="6">
        <v>0</v>
      </c>
      <c r="F6" s="170" t="e">
        <f t="shared" si="1"/>
        <v>#DIV/0!</v>
      </c>
    </row>
    <row r="7" spans="1:6" x14ac:dyDescent="0.25">
      <c r="A7" s="224" t="s">
        <v>226</v>
      </c>
      <c r="B7" s="16">
        <v>5373</v>
      </c>
      <c r="C7" s="54">
        <v>1882</v>
      </c>
      <c r="D7" s="55">
        <f t="shared" si="0"/>
        <v>2823</v>
      </c>
      <c r="E7" s="6">
        <v>2800</v>
      </c>
      <c r="F7" s="170">
        <f t="shared" si="1"/>
        <v>-0.4788758607854085</v>
      </c>
    </row>
    <row r="8" spans="1:6" x14ac:dyDescent="0.25">
      <c r="A8" s="224" t="s">
        <v>225</v>
      </c>
      <c r="B8" s="16">
        <v>6523.3499999999995</v>
      </c>
      <c r="C8" s="54">
        <v>1791</v>
      </c>
      <c r="D8" s="55">
        <f t="shared" si="0"/>
        <v>2686.5</v>
      </c>
      <c r="E8" s="6">
        <v>2700</v>
      </c>
      <c r="F8" s="170">
        <f t="shared" si="1"/>
        <v>-0.58610223274851103</v>
      </c>
    </row>
    <row r="9" spans="1:6" x14ac:dyDescent="0.25">
      <c r="A9" s="224" t="s">
        <v>13</v>
      </c>
      <c r="B9" s="16">
        <v>15</v>
      </c>
      <c r="C9" s="54">
        <v>0</v>
      </c>
      <c r="D9" s="55">
        <f t="shared" si="0"/>
        <v>0</v>
      </c>
      <c r="E9" s="6">
        <v>0</v>
      </c>
      <c r="F9" s="170" t="s">
        <v>200</v>
      </c>
    </row>
    <row r="10" spans="1:6" x14ac:dyDescent="0.25">
      <c r="A10" s="224" t="s">
        <v>14</v>
      </c>
      <c r="B10" s="16">
        <v>51</v>
      </c>
      <c r="C10" s="54">
        <v>0</v>
      </c>
      <c r="D10" s="55">
        <f t="shared" si="0"/>
        <v>0</v>
      </c>
      <c r="E10" s="6">
        <v>0</v>
      </c>
      <c r="F10" s="170" t="s">
        <v>200</v>
      </c>
    </row>
    <row r="11" spans="1:6" x14ac:dyDescent="0.25">
      <c r="A11" s="224" t="s">
        <v>144</v>
      </c>
      <c r="B11" s="16">
        <v>48</v>
      </c>
      <c r="C11" s="54">
        <v>0</v>
      </c>
      <c r="D11" s="55">
        <f t="shared" si="0"/>
        <v>0</v>
      </c>
      <c r="E11" s="6">
        <v>0</v>
      </c>
      <c r="F11" s="170" t="s">
        <v>200</v>
      </c>
    </row>
    <row r="12" spans="1:6" x14ac:dyDescent="0.25">
      <c r="A12" s="224" t="s">
        <v>229</v>
      </c>
      <c r="B12" s="16">
        <v>1000</v>
      </c>
      <c r="C12" s="54">
        <v>406</v>
      </c>
      <c r="D12" s="55">
        <f t="shared" si="0"/>
        <v>609</v>
      </c>
      <c r="E12" s="6">
        <v>600</v>
      </c>
      <c r="F12" s="170">
        <f t="shared" si="1"/>
        <v>-0.4</v>
      </c>
    </row>
    <row r="13" spans="1:6" x14ac:dyDescent="0.25">
      <c r="A13" s="224" t="s">
        <v>230</v>
      </c>
      <c r="B13" s="16">
        <v>0</v>
      </c>
      <c r="C13" s="54">
        <v>0</v>
      </c>
      <c r="D13" s="55">
        <f t="shared" si="0"/>
        <v>0</v>
      </c>
      <c r="E13" s="6">
        <v>0</v>
      </c>
      <c r="F13" s="170" t="e">
        <f t="shared" si="1"/>
        <v>#DIV/0!</v>
      </c>
    </row>
    <row r="14" spans="1:6" x14ac:dyDescent="0.25">
      <c r="A14" s="224" t="s">
        <v>231</v>
      </c>
      <c r="B14" s="16">
        <v>924</v>
      </c>
      <c r="C14" s="54">
        <v>141</v>
      </c>
      <c r="D14" s="55">
        <f t="shared" si="0"/>
        <v>211.5</v>
      </c>
      <c r="E14" s="6">
        <v>200</v>
      </c>
      <c r="F14" s="170">
        <f t="shared" si="1"/>
        <v>-0.78354978354978355</v>
      </c>
    </row>
    <row r="15" spans="1:6" x14ac:dyDescent="0.25">
      <c r="A15" s="224" t="s">
        <v>232</v>
      </c>
      <c r="B15" s="16">
        <v>987</v>
      </c>
      <c r="C15" s="54">
        <v>346</v>
      </c>
      <c r="D15" s="55">
        <f t="shared" si="0"/>
        <v>519</v>
      </c>
      <c r="E15" s="6">
        <v>500</v>
      </c>
      <c r="F15" s="170">
        <f t="shared" si="1"/>
        <v>-0.49341438703140833</v>
      </c>
    </row>
    <row r="16" spans="1:6" x14ac:dyDescent="0.25">
      <c r="A16" s="224" t="s">
        <v>233</v>
      </c>
      <c r="B16" s="16">
        <v>183</v>
      </c>
      <c r="C16" s="54">
        <v>24</v>
      </c>
      <c r="D16" s="55">
        <f t="shared" si="0"/>
        <v>36</v>
      </c>
      <c r="E16" s="6">
        <v>50</v>
      </c>
      <c r="F16" s="170">
        <f t="shared" si="1"/>
        <v>-0.72677595628415304</v>
      </c>
    </row>
    <row r="17" spans="1:6" x14ac:dyDescent="0.25">
      <c r="A17" s="224" t="s">
        <v>150</v>
      </c>
      <c r="B17" s="16">
        <v>102</v>
      </c>
      <c r="C17" s="54">
        <v>0</v>
      </c>
      <c r="D17" s="55">
        <f t="shared" si="0"/>
        <v>0</v>
      </c>
      <c r="E17" s="6">
        <v>0</v>
      </c>
      <c r="F17" s="170">
        <f t="shared" si="1"/>
        <v>-1</v>
      </c>
    </row>
    <row r="18" spans="1:6" x14ac:dyDescent="0.25">
      <c r="A18" s="224" t="s">
        <v>15</v>
      </c>
      <c r="B18" s="16">
        <v>3</v>
      </c>
      <c r="C18" s="54">
        <v>0.45</v>
      </c>
      <c r="D18" s="55">
        <f t="shared" si="0"/>
        <v>0.67500000000000004</v>
      </c>
      <c r="E18" s="6">
        <v>0</v>
      </c>
      <c r="F18" s="170">
        <f t="shared" si="1"/>
        <v>-1</v>
      </c>
    </row>
    <row r="19" spans="1:6" x14ac:dyDescent="0.25">
      <c r="A19" s="224" t="s">
        <v>16</v>
      </c>
      <c r="B19" s="16">
        <v>117</v>
      </c>
      <c r="C19" s="54">
        <v>14</v>
      </c>
      <c r="D19" s="55">
        <f t="shared" si="0"/>
        <v>21</v>
      </c>
      <c r="E19" s="6">
        <v>20</v>
      </c>
      <c r="F19" s="170">
        <f t="shared" si="1"/>
        <v>-0.82905982905982911</v>
      </c>
    </row>
    <row r="20" spans="1:6" x14ac:dyDescent="0.25">
      <c r="A20" s="224" t="s">
        <v>228</v>
      </c>
      <c r="B20" s="16">
        <v>1800</v>
      </c>
      <c r="C20" s="54">
        <v>708</v>
      </c>
      <c r="D20" s="55">
        <f t="shared" si="0"/>
        <v>1062</v>
      </c>
      <c r="E20" s="6">
        <v>1000</v>
      </c>
      <c r="F20" s="170">
        <f t="shared" si="1"/>
        <v>-0.44444444444444442</v>
      </c>
    </row>
    <row r="21" spans="1:6" x14ac:dyDescent="0.25">
      <c r="A21" s="224" t="s">
        <v>17</v>
      </c>
      <c r="B21" s="16">
        <v>489</v>
      </c>
      <c r="C21" s="54">
        <v>69</v>
      </c>
      <c r="D21" s="55">
        <f t="shared" si="0"/>
        <v>103.5</v>
      </c>
      <c r="E21" s="6">
        <v>100</v>
      </c>
      <c r="F21" s="170">
        <f t="shared" si="1"/>
        <v>-0.79550102249488752</v>
      </c>
    </row>
    <row r="22" spans="1:6" x14ac:dyDescent="0.25">
      <c r="A22" s="224" t="s">
        <v>18</v>
      </c>
      <c r="B22" s="16">
        <v>669</v>
      </c>
      <c r="C22" s="54">
        <v>92</v>
      </c>
      <c r="D22" s="55">
        <f t="shared" si="0"/>
        <v>138</v>
      </c>
      <c r="E22" s="6">
        <v>130</v>
      </c>
      <c r="F22" s="170">
        <f t="shared" si="1"/>
        <v>-0.8056801195814649</v>
      </c>
    </row>
    <row r="23" spans="1:6" x14ac:dyDescent="0.25">
      <c r="A23" s="224" t="s">
        <v>234</v>
      </c>
      <c r="B23" s="16">
        <v>63</v>
      </c>
      <c r="C23" s="54">
        <v>10</v>
      </c>
      <c r="D23" s="55">
        <f t="shared" si="0"/>
        <v>15</v>
      </c>
      <c r="E23" s="6">
        <v>20</v>
      </c>
      <c r="F23" s="170">
        <f t="shared" si="1"/>
        <v>-0.68253968253968256</v>
      </c>
    </row>
    <row r="24" spans="1:6" x14ac:dyDescent="0.25">
      <c r="A24" s="225" t="s">
        <v>19</v>
      </c>
      <c r="B24" s="172">
        <v>0</v>
      </c>
      <c r="C24" s="173">
        <v>0</v>
      </c>
      <c r="D24" s="55">
        <f t="shared" si="0"/>
        <v>0</v>
      </c>
      <c r="E24" s="174">
        <v>0</v>
      </c>
      <c r="F24" s="199" t="e">
        <f t="shared" si="1"/>
        <v>#DIV/0!</v>
      </c>
    </row>
    <row r="25" spans="1:6" s="153" customFormat="1" x14ac:dyDescent="0.25">
      <c r="A25" s="226" t="s">
        <v>204</v>
      </c>
      <c r="B25" s="16">
        <v>390</v>
      </c>
      <c r="C25" s="54">
        <v>86</v>
      </c>
      <c r="D25" s="55">
        <f t="shared" si="0"/>
        <v>129</v>
      </c>
      <c r="E25" s="6">
        <v>200</v>
      </c>
      <c r="F25" s="197" t="s">
        <v>200</v>
      </c>
    </row>
    <row r="26" spans="1:6" s="153" customFormat="1" x14ac:dyDescent="0.25">
      <c r="A26" s="226" t="s">
        <v>205</v>
      </c>
      <c r="B26" s="16">
        <v>300</v>
      </c>
      <c r="C26" s="54">
        <v>234</v>
      </c>
      <c r="D26" s="55">
        <f t="shared" si="0"/>
        <v>351</v>
      </c>
      <c r="E26" s="6">
        <v>350</v>
      </c>
      <c r="F26" s="197" t="s">
        <v>200</v>
      </c>
    </row>
    <row r="28" spans="1:6" ht="21" customHeight="1" x14ac:dyDescent="0.25">
      <c r="A28" s="34" t="s">
        <v>160</v>
      </c>
      <c r="B28" s="134">
        <f>SUM(B4:B26)</f>
        <v>20040.489999999998</v>
      </c>
      <c r="C28" s="135">
        <f>SUM(C4:C26)</f>
        <v>6169.45</v>
      </c>
      <c r="D28" s="136">
        <f>SUM(D6:D24)</f>
        <v>8225.1749999999993</v>
      </c>
      <c r="E28" s="137">
        <f>SUM(E4:E26)</f>
        <v>9220</v>
      </c>
      <c r="F28" s="200">
        <f>(E28-B28)/B28</f>
        <v>-0.53993140886275726</v>
      </c>
    </row>
  </sheetData>
  <mergeCells count="1">
    <mergeCell ref="A1:A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45"/>
  <sheetViews>
    <sheetView tabSelected="1" zoomScale="170" zoomScaleNormal="170" workbookViewId="0">
      <selection activeCell="A28" sqref="A28"/>
    </sheetView>
  </sheetViews>
  <sheetFormatPr defaultRowHeight="15" x14ac:dyDescent="0.25"/>
  <cols>
    <col min="1" max="1" width="28.5703125" customWidth="1"/>
    <col min="2" max="2" width="18.42578125" customWidth="1"/>
    <col min="3" max="3" width="18.5703125" customWidth="1"/>
    <col min="4" max="4" width="21.28515625" customWidth="1"/>
    <col min="5" max="5" width="18.7109375" customWidth="1"/>
    <col min="6" max="6" width="19.42578125" customWidth="1"/>
    <col min="7" max="7" width="12.5703125" bestFit="1" customWidth="1"/>
    <col min="11" max="11" width="9.140625" customWidth="1"/>
  </cols>
  <sheetData>
    <row r="1" spans="1:8" ht="20.25" x14ac:dyDescent="0.4">
      <c r="A1" s="27" t="s">
        <v>96</v>
      </c>
      <c r="B1" s="68" t="s">
        <v>218</v>
      </c>
      <c r="C1" s="69" t="s">
        <v>219</v>
      </c>
      <c r="D1" s="70" t="s">
        <v>220</v>
      </c>
      <c r="E1" s="71" t="s">
        <v>223</v>
      </c>
      <c r="F1" s="159" t="s">
        <v>221</v>
      </c>
    </row>
    <row r="2" spans="1:8" ht="13.5" customHeight="1" x14ac:dyDescent="0.25">
      <c r="A2" s="28"/>
      <c r="B2" s="10"/>
      <c r="C2" s="21"/>
      <c r="D2" s="14"/>
      <c r="E2" s="15"/>
      <c r="F2" s="156"/>
    </row>
    <row r="3" spans="1:8" ht="13.5" customHeight="1" x14ac:dyDescent="0.25">
      <c r="A3" s="29" t="s">
        <v>97</v>
      </c>
      <c r="B3" s="20"/>
      <c r="C3" s="22"/>
      <c r="D3" s="23"/>
      <c r="E3" s="17"/>
      <c r="F3" s="156"/>
    </row>
    <row r="4" spans="1:8" ht="13.5" customHeight="1" x14ac:dyDescent="0.25">
      <c r="A4" s="28" t="s">
        <v>98</v>
      </c>
      <c r="B4" s="16">
        <v>306565</v>
      </c>
      <c r="C4" s="66">
        <v>311353</v>
      </c>
      <c r="D4" s="55">
        <v>318789</v>
      </c>
      <c r="E4" s="6">
        <f>(326133*0.94)</f>
        <v>306565.01999999996</v>
      </c>
      <c r="F4" s="170">
        <f>(E4-B4)/B4</f>
        <v>6.5239019328425586E-8</v>
      </c>
    </row>
    <row r="5" spans="1:8" s="3" customFormat="1" ht="13.5" customHeight="1" x14ac:dyDescent="0.25">
      <c r="A5" s="28"/>
      <c r="B5" s="24"/>
      <c r="C5" s="25"/>
      <c r="D5" s="55"/>
      <c r="E5" s="4"/>
      <c r="F5" s="170"/>
    </row>
    <row r="6" spans="1:8" ht="16.5" customHeight="1" x14ac:dyDescent="0.4">
      <c r="A6" s="29" t="s">
        <v>99</v>
      </c>
      <c r="B6" s="52">
        <f>B4</f>
        <v>306565</v>
      </c>
      <c r="C6" s="65">
        <f>SUM(C4:C4)</f>
        <v>311353</v>
      </c>
      <c r="D6" s="98">
        <f>SUM(D4:D4)</f>
        <v>318789</v>
      </c>
      <c r="E6" s="53">
        <f>(E4)</f>
        <v>306565.01999999996</v>
      </c>
      <c r="F6" s="170">
        <f t="shared" ref="F6:F17" si="0">(E6-B6)/B6</f>
        <v>6.5239019328425586E-8</v>
      </c>
    </row>
    <row r="7" spans="1:8" ht="13.5" customHeight="1" x14ac:dyDescent="0.25">
      <c r="A7" s="29"/>
      <c r="B7" s="20"/>
      <c r="C7" s="25"/>
      <c r="D7" s="23"/>
      <c r="E7" s="17"/>
      <c r="F7" s="170"/>
    </row>
    <row r="8" spans="1:8" ht="13.5" customHeight="1" x14ac:dyDescent="0.25">
      <c r="A8" s="7"/>
      <c r="B8" s="10"/>
      <c r="C8" s="5"/>
      <c r="D8" s="23"/>
      <c r="E8" s="9"/>
      <c r="F8" s="170"/>
    </row>
    <row r="9" spans="1:8" ht="13.5" customHeight="1" x14ac:dyDescent="0.25">
      <c r="A9" s="29" t="s">
        <v>100</v>
      </c>
      <c r="B9" s="20"/>
      <c r="C9" s="25"/>
      <c r="D9" s="23"/>
      <c r="E9" s="17"/>
      <c r="F9" s="170"/>
    </row>
    <row r="10" spans="1:8" ht="13.5" customHeight="1" x14ac:dyDescent="0.25">
      <c r="A10" s="28" t="s">
        <v>164</v>
      </c>
      <c r="B10" s="16">
        <v>142600</v>
      </c>
      <c r="C10" s="66">
        <v>23800</v>
      </c>
      <c r="D10" s="55">
        <v>142600</v>
      </c>
      <c r="E10" s="6">
        <v>143800</v>
      </c>
      <c r="F10" s="170">
        <f t="shared" si="0"/>
        <v>8.4151472650771386E-3</v>
      </c>
    </row>
    <row r="11" spans="1:8" ht="13.5" customHeight="1" x14ac:dyDescent="0.25">
      <c r="A11" s="28" t="s">
        <v>101</v>
      </c>
      <c r="B11" s="16">
        <v>183533</v>
      </c>
      <c r="C11" s="25">
        <v>29266.5</v>
      </c>
      <c r="D11" s="55">
        <v>183533</v>
      </c>
      <c r="E11" s="4">
        <v>184445.5</v>
      </c>
      <c r="F11" s="170">
        <f t="shared" si="0"/>
        <v>4.9718579220085759E-3</v>
      </c>
    </row>
    <row r="12" spans="1:8" s="101" customFormat="1" ht="13.5" customHeight="1" x14ac:dyDescent="0.25">
      <c r="A12" s="7"/>
      <c r="B12" s="10"/>
      <c r="C12" s="5"/>
      <c r="D12" s="23"/>
      <c r="E12" s="9"/>
      <c r="F12" s="170"/>
    </row>
    <row r="13" spans="1:8" ht="17.25" customHeight="1" x14ac:dyDescent="0.4">
      <c r="A13" s="30" t="s">
        <v>129</v>
      </c>
      <c r="B13" s="52">
        <f>SUM(B10:B11)</f>
        <v>326133</v>
      </c>
      <c r="C13" s="65">
        <f>SUM(C10:C11)</f>
        <v>53066.5</v>
      </c>
      <c r="D13" s="98">
        <f>SUM(D10:D11)</f>
        <v>326133</v>
      </c>
      <c r="E13" s="241">
        <f>SUM(E10:E11)</f>
        <v>328245.5</v>
      </c>
      <c r="F13" s="170">
        <f t="shared" si="0"/>
        <v>6.4774187218098137E-3</v>
      </c>
    </row>
    <row r="14" spans="1:8" ht="13.5" customHeight="1" x14ac:dyDescent="0.25">
      <c r="A14" s="28"/>
      <c r="B14" s="20"/>
      <c r="C14" s="22"/>
      <c r="D14" s="23"/>
      <c r="E14" s="17"/>
      <c r="F14" s="170"/>
      <c r="H14" s="117"/>
    </row>
    <row r="15" spans="1:8" s="101" customFormat="1" ht="13.5" customHeight="1" x14ac:dyDescent="0.25">
      <c r="A15" s="30" t="s">
        <v>191</v>
      </c>
      <c r="B15" s="16">
        <f>(B6-B13)</f>
        <v>-19568</v>
      </c>
      <c r="C15" s="54">
        <f>C6-C13</f>
        <v>258286.5</v>
      </c>
      <c r="D15" s="120">
        <f>D4-D13</f>
        <v>-7344</v>
      </c>
      <c r="E15" s="6">
        <f>(E4-E13)</f>
        <v>-21680.48000000004</v>
      </c>
      <c r="F15" s="170">
        <f t="shared" si="0"/>
        <v>0.10795584627964225</v>
      </c>
    </row>
    <row r="16" spans="1:8" ht="13.5" customHeight="1" x14ac:dyDescent="0.25">
      <c r="A16" s="28"/>
      <c r="B16" s="20"/>
      <c r="C16" s="22"/>
      <c r="D16" s="23"/>
      <c r="E16" s="17"/>
      <c r="F16" s="170"/>
    </row>
    <row r="17" spans="1:7" ht="13.5" customHeight="1" x14ac:dyDescent="0.25">
      <c r="A17" s="30" t="s">
        <v>102</v>
      </c>
      <c r="B17" s="18">
        <v>27800</v>
      </c>
      <c r="C17" s="191">
        <f>(C6-C13)+B17</f>
        <v>286086.5</v>
      </c>
      <c r="D17" s="59">
        <f>(287041-258287)</f>
        <v>28754</v>
      </c>
      <c r="E17" s="19">
        <v>27800</v>
      </c>
      <c r="F17" s="170">
        <f t="shared" si="0"/>
        <v>0</v>
      </c>
      <c r="G17" s="80"/>
    </row>
    <row r="20" spans="1:7" ht="15.75" x14ac:dyDescent="0.25">
      <c r="A20" s="192" t="s">
        <v>174</v>
      </c>
      <c r="B20" s="193" t="s">
        <v>161</v>
      </c>
      <c r="C20" s="193" t="s">
        <v>162</v>
      </c>
      <c r="D20" s="193" t="s">
        <v>163</v>
      </c>
    </row>
    <row r="21" spans="1:7" x14ac:dyDescent="0.25">
      <c r="B21" s="103"/>
      <c r="C21" s="103"/>
      <c r="D21" s="103"/>
      <c r="G21" s="80"/>
    </row>
    <row r="22" spans="1:7" x14ac:dyDescent="0.25">
      <c r="A22" s="75" t="s">
        <v>101</v>
      </c>
      <c r="B22" s="58">
        <v>1665000</v>
      </c>
      <c r="C22" s="58">
        <v>344004</v>
      </c>
      <c r="D22" s="58">
        <f>SUM(B22:C22)</f>
        <v>2009004</v>
      </c>
    </row>
    <row r="23" spans="1:7" x14ac:dyDescent="0.25">
      <c r="A23" s="75" t="s">
        <v>164</v>
      </c>
      <c r="B23" s="58">
        <v>1095000</v>
      </c>
      <c r="C23" s="58">
        <v>263200</v>
      </c>
      <c r="D23" s="58">
        <f>SUM(B23:C23)</f>
        <v>1358200</v>
      </c>
      <c r="E23" s="58"/>
    </row>
    <row r="25" spans="1:7" x14ac:dyDescent="0.25">
      <c r="A25" s="114" t="s">
        <v>165</v>
      </c>
      <c r="B25" s="115">
        <f>SUM(B22:B23)</f>
        <v>2760000</v>
      </c>
      <c r="C25" s="115">
        <f>SUM(C22:C23)</f>
        <v>607204</v>
      </c>
      <c r="D25" s="115">
        <f>SUM(D22:D23)</f>
        <v>3367204</v>
      </c>
    </row>
    <row r="28" spans="1:7" x14ac:dyDescent="0.25">
      <c r="A28" s="3"/>
      <c r="B28" s="3"/>
      <c r="C28" s="3"/>
      <c r="D28" s="3"/>
      <c r="E28" s="3"/>
      <c r="F28" s="3"/>
      <c r="G28" s="3"/>
    </row>
    <row r="29" spans="1:7" x14ac:dyDescent="0.25">
      <c r="A29" s="3"/>
      <c r="B29" s="3"/>
      <c r="C29" s="3"/>
      <c r="D29" s="3"/>
      <c r="E29" s="139"/>
      <c r="F29" s="3"/>
      <c r="G29" s="3"/>
    </row>
    <row r="30" spans="1:7" x14ac:dyDescent="0.25">
      <c r="A30" s="3"/>
      <c r="B30" s="3"/>
      <c r="C30" s="3"/>
      <c r="D30" s="3"/>
      <c r="E30" s="3"/>
      <c r="F30" s="3"/>
      <c r="G30" s="3"/>
    </row>
    <row r="31" spans="1:7" x14ac:dyDescent="0.25">
      <c r="A31" s="3"/>
      <c r="B31" s="3"/>
      <c r="C31" s="3"/>
      <c r="D31" s="3"/>
      <c r="E31" s="3"/>
      <c r="F31" s="3"/>
      <c r="G31" s="3"/>
    </row>
    <row r="32" spans="1:7" x14ac:dyDescent="0.25">
      <c r="A32" s="3"/>
      <c r="B32" s="3"/>
      <c r="C32" s="3"/>
      <c r="D32" s="3"/>
      <c r="E32" s="3"/>
      <c r="F32" s="3"/>
      <c r="G32" s="3"/>
    </row>
    <row r="33" spans="1:10" x14ac:dyDescent="0.25">
      <c r="A33" s="3"/>
      <c r="B33" s="3"/>
      <c r="C33" s="3"/>
      <c r="D33" s="3"/>
      <c r="E33" s="3"/>
      <c r="F33" s="3"/>
      <c r="G33" s="3"/>
    </row>
    <row r="34" spans="1:10" x14ac:dyDescent="0.25">
      <c r="A34" s="3"/>
      <c r="B34" s="3"/>
      <c r="C34" s="3"/>
      <c r="D34" s="3"/>
      <c r="E34" s="3"/>
      <c r="F34" s="3"/>
      <c r="G34" s="3"/>
    </row>
    <row r="35" spans="1:10" x14ac:dyDescent="0.25">
      <c r="A35" s="3"/>
      <c r="B35" s="3"/>
      <c r="C35" s="3"/>
      <c r="D35" s="3"/>
      <c r="E35" s="3"/>
      <c r="F35" s="3"/>
      <c r="G35" s="3"/>
    </row>
    <row r="36" spans="1:10" x14ac:dyDescent="0.25">
      <c r="A36" s="3"/>
      <c r="B36" s="3"/>
      <c r="C36" s="3"/>
      <c r="D36" s="3"/>
      <c r="E36" s="3"/>
      <c r="F36" s="3"/>
      <c r="G36" s="3"/>
    </row>
    <row r="37" spans="1:10" x14ac:dyDescent="0.25">
      <c r="A37" s="3"/>
      <c r="B37" s="3"/>
      <c r="C37" s="3"/>
      <c r="D37" s="3"/>
      <c r="E37" s="3"/>
      <c r="F37" s="3"/>
      <c r="G37" s="3"/>
    </row>
    <row r="38" spans="1:10" x14ac:dyDescent="0.25">
      <c r="A38" s="3"/>
      <c r="B38" s="3"/>
      <c r="C38" s="3"/>
      <c r="D38" s="3"/>
      <c r="E38" s="3"/>
      <c r="F38" s="3"/>
      <c r="G38" s="3"/>
    </row>
    <row r="39" spans="1:10" x14ac:dyDescent="0.25">
      <c r="A39" s="3"/>
      <c r="B39" s="3"/>
      <c r="C39" s="3"/>
      <c r="D39" s="3"/>
      <c r="E39" s="3"/>
      <c r="F39" s="3"/>
      <c r="G39" s="3"/>
      <c r="J39" s="101"/>
    </row>
    <row r="40" spans="1:10" x14ac:dyDescent="0.25">
      <c r="A40" s="3"/>
      <c r="B40" s="3"/>
      <c r="C40" s="3"/>
      <c r="D40" s="3"/>
      <c r="E40" s="3"/>
      <c r="F40" s="3"/>
      <c r="G40" s="3"/>
    </row>
    <row r="41" spans="1:10" x14ac:dyDescent="0.25">
      <c r="A41" s="3"/>
      <c r="B41" s="3"/>
      <c r="C41" s="3"/>
      <c r="D41" s="3"/>
      <c r="E41" s="3"/>
      <c r="F41" s="3"/>
      <c r="G41" s="3"/>
    </row>
    <row r="42" spans="1:10" x14ac:dyDescent="0.25">
      <c r="A42" s="3"/>
      <c r="B42" s="3"/>
      <c r="C42" s="3"/>
      <c r="D42" s="3"/>
      <c r="E42" s="3"/>
      <c r="F42" s="3"/>
      <c r="G42" s="3"/>
    </row>
    <row r="43" spans="1:10" x14ac:dyDescent="0.25">
      <c r="A43" s="3"/>
      <c r="B43" s="3"/>
      <c r="C43" s="3"/>
      <c r="D43" s="3"/>
      <c r="E43" s="3"/>
      <c r="F43" s="3"/>
      <c r="G43" s="3"/>
    </row>
    <row r="44" spans="1:10" x14ac:dyDescent="0.25">
      <c r="A44" s="3"/>
      <c r="B44" s="3"/>
      <c r="C44" s="3"/>
      <c r="D44" s="3"/>
      <c r="E44" s="3"/>
      <c r="F44" s="3"/>
      <c r="G44" s="3"/>
    </row>
    <row r="45" spans="1:10" x14ac:dyDescent="0.25">
      <c r="A45" s="3"/>
      <c r="B45" s="3"/>
      <c r="C45" s="3"/>
      <c r="D45" s="3"/>
      <c r="E45" s="3"/>
      <c r="F45" s="3"/>
      <c r="G45" s="3"/>
    </row>
  </sheetData>
  <pageMargins left="0.7" right="0.7" top="0.75" bottom="0.75" header="0.3" footer="0.3"/>
  <pageSetup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341D7-2F05-466B-92C3-FDF7DA99B64C}">
  <dimension ref="A1:K41"/>
  <sheetViews>
    <sheetView zoomScale="150" zoomScaleNormal="150" workbookViewId="0">
      <selection activeCell="E24" sqref="E24"/>
    </sheetView>
  </sheetViews>
  <sheetFormatPr defaultRowHeight="15" x14ac:dyDescent="0.25"/>
  <cols>
    <col min="1" max="1" width="40.7109375" customWidth="1"/>
    <col min="2" max="2" width="20.140625" customWidth="1"/>
    <col min="3" max="3" width="16.28515625" customWidth="1"/>
    <col min="4" max="4" width="20.7109375" customWidth="1"/>
    <col min="5" max="5" width="18.5703125" customWidth="1"/>
    <col min="6" max="6" width="19.42578125" customWidth="1"/>
    <col min="8" max="8" width="9.7109375" bestFit="1" customWidth="1"/>
    <col min="9" max="9" width="17.85546875" customWidth="1"/>
    <col min="11" max="11" width="11.5703125" bestFit="1" customWidth="1"/>
  </cols>
  <sheetData>
    <row r="1" spans="1:9" ht="20.25" x14ac:dyDescent="0.4">
      <c r="A1" s="27" t="s">
        <v>166</v>
      </c>
      <c r="B1" s="68" t="s">
        <v>218</v>
      </c>
      <c r="C1" s="69" t="s">
        <v>219</v>
      </c>
      <c r="D1" s="70" t="s">
        <v>220</v>
      </c>
      <c r="E1" s="71" t="s">
        <v>223</v>
      </c>
      <c r="F1" s="194" t="s">
        <v>221</v>
      </c>
    </row>
    <row r="2" spans="1:9" x14ac:dyDescent="0.25">
      <c r="A2" s="28"/>
      <c r="B2" s="10"/>
      <c r="C2" s="21"/>
      <c r="D2" s="14"/>
      <c r="E2" s="15"/>
      <c r="F2" s="156"/>
      <c r="I2" t="s">
        <v>273</v>
      </c>
    </row>
    <row r="3" spans="1:9" x14ac:dyDescent="0.25">
      <c r="A3" s="29" t="s">
        <v>97</v>
      </c>
      <c r="B3" s="20"/>
      <c r="C3" s="22"/>
      <c r="D3" s="23"/>
      <c r="E3" s="17"/>
      <c r="F3" s="156"/>
      <c r="I3" s="58">
        <f>(Enterprise.Proprietary!B137)</f>
        <v>57011</v>
      </c>
    </row>
    <row r="4" spans="1:9" x14ac:dyDescent="0.25">
      <c r="A4" s="78" t="s">
        <v>167</v>
      </c>
      <c r="B4" s="16">
        <v>72817.760000000009</v>
      </c>
      <c r="C4" s="66">
        <f>(26978+13750)</f>
        <v>40728</v>
      </c>
      <c r="D4" s="55">
        <f>(D20+29791)</f>
        <v>78395</v>
      </c>
      <c r="E4" s="6">
        <f>(E20+31288+D34)</f>
        <v>81799</v>
      </c>
      <c r="F4" s="157">
        <f>(E4-B4)/B4</f>
        <v>0.12333859212367958</v>
      </c>
      <c r="H4" s="58" t="s">
        <v>274</v>
      </c>
      <c r="I4" s="58">
        <f>(E4-I3)</f>
        <v>24788</v>
      </c>
    </row>
    <row r="5" spans="1:9" x14ac:dyDescent="0.25">
      <c r="A5" s="78" t="s">
        <v>168</v>
      </c>
      <c r="B5" s="154">
        <v>275000</v>
      </c>
      <c r="C5" s="66">
        <v>115589.61</v>
      </c>
      <c r="D5" s="55">
        <v>275000</v>
      </c>
      <c r="E5" s="6">
        <f>(B5-D5)</f>
        <v>0</v>
      </c>
      <c r="F5" s="157">
        <f t="shared" ref="F5:F22" si="0">(E5-B5)/B5</f>
        <v>-1</v>
      </c>
    </row>
    <row r="6" spans="1:9" x14ac:dyDescent="0.25">
      <c r="A6" s="78" t="s">
        <v>169</v>
      </c>
      <c r="B6" s="154">
        <v>793105</v>
      </c>
      <c r="C6" s="66">
        <v>61100.2</v>
      </c>
      <c r="D6" s="55">
        <f>(C6+30644.55)</f>
        <v>91744.75</v>
      </c>
      <c r="E6" s="6">
        <f>(B6-D6)</f>
        <v>701360.25</v>
      </c>
      <c r="F6" s="157">
        <f t="shared" si="0"/>
        <v>-0.11567793671708033</v>
      </c>
    </row>
    <row r="7" spans="1:9" s="153" customFormat="1" x14ac:dyDescent="0.25">
      <c r="A7" s="78" t="s">
        <v>243</v>
      </c>
      <c r="B7" s="154">
        <v>0</v>
      </c>
      <c r="C7" s="66">
        <v>0</v>
      </c>
      <c r="D7" s="55">
        <v>0</v>
      </c>
      <c r="E7" s="6">
        <v>3091618</v>
      </c>
      <c r="F7" s="157"/>
    </row>
    <row r="8" spans="1:9" s="153" customFormat="1" x14ac:dyDescent="0.25">
      <c r="A8" s="78" t="s">
        <v>244</v>
      </c>
      <c r="B8" s="154">
        <v>0</v>
      </c>
      <c r="C8" s="66">
        <v>0</v>
      </c>
      <c r="D8" s="55">
        <v>0</v>
      </c>
      <c r="E8" s="6">
        <v>350000</v>
      </c>
      <c r="F8" s="157"/>
      <c r="I8" s="245"/>
    </row>
    <row r="9" spans="1:9" s="101" customFormat="1" x14ac:dyDescent="0.25">
      <c r="A9" s="78"/>
      <c r="B9" s="24"/>
      <c r="C9" s="25"/>
      <c r="D9" s="8"/>
      <c r="E9" s="4"/>
      <c r="F9" s="157"/>
    </row>
    <row r="10" spans="1:9" ht="17.25" x14ac:dyDescent="0.4">
      <c r="A10" s="30" t="s">
        <v>170</v>
      </c>
      <c r="B10" s="52">
        <v>1140922.76</v>
      </c>
      <c r="C10" s="65">
        <f>SUM(C4:C8)</f>
        <v>217417.81</v>
      </c>
      <c r="D10" s="98">
        <f>SUM(D4:D6)</f>
        <v>445139.75</v>
      </c>
      <c r="E10" s="53">
        <f>SUM(E4:E8)</f>
        <v>4224777.25</v>
      </c>
      <c r="F10" s="157">
        <f t="shared" si="0"/>
        <v>2.7029476473937644</v>
      </c>
    </row>
    <row r="11" spans="1:9" x14ac:dyDescent="0.25">
      <c r="A11" s="29"/>
      <c r="B11" s="20"/>
      <c r="C11" s="25"/>
      <c r="D11" s="23"/>
      <c r="E11" s="17"/>
      <c r="F11" s="157"/>
      <c r="H11" s="58"/>
    </row>
    <row r="12" spans="1:9" x14ac:dyDescent="0.25">
      <c r="A12" s="7"/>
      <c r="B12" s="10"/>
      <c r="C12" s="5"/>
      <c r="D12" s="23"/>
      <c r="E12" s="9"/>
      <c r="F12" s="157"/>
      <c r="H12" s="58"/>
    </row>
    <row r="13" spans="1:9" x14ac:dyDescent="0.25">
      <c r="A13" s="29" t="s">
        <v>100</v>
      </c>
      <c r="B13" s="20"/>
      <c r="C13" s="25"/>
      <c r="D13" s="23"/>
      <c r="E13" s="17"/>
      <c r="F13" s="157"/>
    </row>
    <row r="14" spans="1:9" x14ac:dyDescent="0.25">
      <c r="A14" s="78" t="s">
        <v>171</v>
      </c>
      <c r="B14" s="16">
        <v>93698</v>
      </c>
      <c r="C14" s="66">
        <f>(9075+23031)</f>
        <v>32106</v>
      </c>
      <c r="D14" s="55">
        <f>(30250+23031)</f>
        <v>53281</v>
      </c>
      <c r="E14" s="6">
        <v>291133</v>
      </c>
      <c r="F14" s="157">
        <f t="shared" si="0"/>
        <v>2.1071420948152575</v>
      </c>
    </row>
    <row r="15" spans="1:9" x14ac:dyDescent="0.25">
      <c r="A15" s="78" t="s">
        <v>172</v>
      </c>
      <c r="B15" s="16">
        <v>138648</v>
      </c>
      <c r="C15" s="66">
        <f>(19556.41+38068)</f>
        <v>57624.41</v>
      </c>
      <c r="D15" s="8">
        <f>(C15+4225.2+8601.3+8564.55+14275.8)</f>
        <v>93291.260000000009</v>
      </c>
      <c r="E15" s="6">
        <v>425227</v>
      </c>
      <c r="F15" s="157">
        <f t="shared" si="0"/>
        <v>2.0669537245398417</v>
      </c>
    </row>
    <row r="16" spans="1:9" x14ac:dyDescent="0.25">
      <c r="A16" s="78" t="s">
        <v>261</v>
      </c>
      <c r="B16" s="16">
        <v>228775</v>
      </c>
      <c r="C16" s="66">
        <v>100708</v>
      </c>
      <c r="D16" s="55">
        <f>(B16+16011)</f>
        <v>244786</v>
      </c>
      <c r="E16" s="6">
        <v>0</v>
      </c>
      <c r="F16" s="157">
        <f t="shared" si="0"/>
        <v>-1</v>
      </c>
    </row>
    <row r="17" spans="1:9" x14ac:dyDescent="0.25">
      <c r="A17" s="7" t="s">
        <v>260</v>
      </c>
      <c r="B17" s="16">
        <v>634484</v>
      </c>
      <c r="C17" s="67">
        <v>0</v>
      </c>
      <c r="D17" s="8">
        <v>0</v>
      </c>
      <c r="E17" s="6">
        <f>(634484+9500)</f>
        <v>643984</v>
      </c>
      <c r="F17" s="157">
        <f t="shared" si="0"/>
        <v>1.4972796792354102E-2</v>
      </c>
    </row>
    <row r="18" spans="1:9" s="153" customFormat="1" x14ac:dyDescent="0.25">
      <c r="A18" s="7" t="s">
        <v>267</v>
      </c>
      <c r="B18" s="16">
        <v>0</v>
      </c>
      <c r="C18" s="67">
        <v>0</v>
      </c>
      <c r="D18" s="8">
        <v>0</v>
      </c>
      <c r="E18" s="6">
        <v>2553922</v>
      </c>
      <c r="F18" s="157" t="e">
        <f t="shared" si="0"/>
        <v>#DIV/0!</v>
      </c>
    </row>
    <row r="19" spans="1:9" s="153" customFormat="1" x14ac:dyDescent="0.25">
      <c r="A19" s="7" t="s">
        <v>270</v>
      </c>
      <c r="B19" s="16">
        <v>0</v>
      </c>
      <c r="C19" s="67">
        <v>0</v>
      </c>
      <c r="D19" s="8">
        <v>0</v>
      </c>
      <c r="E19" s="6">
        <v>295000</v>
      </c>
      <c r="F19" s="157"/>
    </row>
    <row r="20" spans="1:9" x14ac:dyDescent="0.25">
      <c r="A20" s="7" t="s">
        <v>189</v>
      </c>
      <c r="B20" s="16">
        <v>45317.760000000002</v>
      </c>
      <c r="C20" s="54">
        <v>26978</v>
      </c>
      <c r="D20" s="55">
        <v>48604</v>
      </c>
      <c r="E20" s="6">
        <v>15511</v>
      </c>
      <c r="F20" s="157">
        <f t="shared" si="0"/>
        <v>-0.65772800773912921</v>
      </c>
      <c r="I20" s="80"/>
    </row>
    <row r="21" spans="1:9" s="145" customFormat="1" x14ac:dyDescent="0.25">
      <c r="A21" s="7"/>
      <c r="B21" s="10"/>
      <c r="C21" s="5"/>
      <c r="D21" s="23"/>
      <c r="E21" s="4"/>
      <c r="F21" s="157"/>
    </row>
    <row r="22" spans="1:9" ht="17.25" x14ac:dyDescent="0.4">
      <c r="A22" s="30" t="s">
        <v>173</v>
      </c>
      <c r="B22" s="52">
        <v>1140922.76</v>
      </c>
      <c r="C22" s="65">
        <f>SUM(C14:C20)</f>
        <v>217416.41</v>
      </c>
      <c r="D22" s="98">
        <f>SUM(D14:D20)</f>
        <v>439962.26</v>
      </c>
      <c r="E22" s="53">
        <f>SUM(E14:E20)</f>
        <v>4224777</v>
      </c>
      <c r="F22" s="157">
        <f t="shared" si="0"/>
        <v>2.7029474282728834</v>
      </c>
    </row>
    <row r="23" spans="1:9" x14ac:dyDescent="0.25">
      <c r="A23" s="28"/>
      <c r="B23" s="20"/>
      <c r="C23" s="22"/>
      <c r="D23" s="23"/>
      <c r="E23" s="17"/>
      <c r="F23" s="157"/>
    </row>
    <row r="24" spans="1:9" x14ac:dyDescent="0.25">
      <c r="A24" s="30" t="s">
        <v>187</v>
      </c>
      <c r="B24" s="24">
        <v>0</v>
      </c>
      <c r="C24" s="67">
        <v>0</v>
      </c>
      <c r="D24" s="120">
        <f>SUM(D10-D22)</f>
        <v>5177.4899999999907</v>
      </c>
      <c r="E24" s="6">
        <f>(E10-E22)</f>
        <v>0.25</v>
      </c>
      <c r="F24" s="157"/>
    </row>
    <row r="25" spans="1:9" x14ac:dyDescent="0.25">
      <c r="A25" s="28"/>
      <c r="B25" s="20"/>
      <c r="C25" s="22"/>
      <c r="D25" s="23"/>
      <c r="E25" s="17"/>
      <c r="F25" s="157"/>
    </row>
    <row r="26" spans="1:9" x14ac:dyDescent="0.25">
      <c r="A26" s="30" t="s">
        <v>102</v>
      </c>
      <c r="B26" s="12">
        <v>0</v>
      </c>
      <c r="C26" s="26">
        <v>0</v>
      </c>
      <c r="D26" s="59">
        <v>5177</v>
      </c>
      <c r="E26" s="19">
        <v>0</v>
      </c>
      <c r="F26" s="157"/>
    </row>
    <row r="29" spans="1:9" x14ac:dyDescent="0.25">
      <c r="A29" s="143" t="s">
        <v>272</v>
      </c>
      <c r="B29" s="242" t="s">
        <v>258</v>
      </c>
      <c r="C29" s="143" t="s">
        <v>253</v>
      </c>
      <c r="D29" s="143" t="s">
        <v>259</v>
      </c>
      <c r="E29" s="247" t="s">
        <v>271</v>
      </c>
      <c r="F29" s="80"/>
      <c r="I29" s="248"/>
    </row>
    <row r="30" spans="1:9" x14ac:dyDescent="0.25">
      <c r="E30" s="58"/>
      <c r="I30" s="248"/>
    </row>
    <row r="31" spans="1:9" x14ac:dyDescent="0.25">
      <c r="A31" s="75" t="s">
        <v>254</v>
      </c>
      <c r="B31" s="58">
        <v>30250</v>
      </c>
      <c r="C31" s="58">
        <v>43475</v>
      </c>
      <c r="D31" s="58">
        <v>27500</v>
      </c>
      <c r="E31" s="58"/>
      <c r="F31" s="80"/>
      <c r="I31" s="248"/>
    </row>
    <row r="32" spans="1:9" x14ac:dyDescent="0.25">
      <c r="A32" s="75" t="s">
        <v>255</v>
      </c>
      <c r="B32" s="58">
        <v>63448</v>
      </c>
      <c r="C32" s="58">
        <v>95174</v>
      </c>
      <c r="D32" s="58">
        <v>0</v>
      </c>
      <c r="E32" s="58">
        <v>643984</v>
      </c>
      <c r="F32" s="80"/>
      <c r="I32" s="248"/>
    </row>
    <row r="33" spans="1:11" x14ac:dyDescent="0.25">
      <c r="A33" s="75" t="s">
        <v>256</v>
      </c>
      <c r="B33" s="58">
        <f>(423933+7500)</f>
        <v>431433</v>
      </c>
      <c r="C33" s="58">
        <f>(649740)</f>
        <v>649740</v>
      </c>
      <c r="D33" s="58">
        <v>62457</v>
      </c>
      <c r="E33" s="58"/>
      <c r="I33" s="248"/>
    </row>
    <row r="34" spans="1:11" x14ac:dyDescent="0.25">
      <c r="A34" s="75" t="s">
        <v>257</v>
      </c>
      <c r="B34" s="58">
        <f>(350000*0.11)</f>
        <v>38500</v>
      </c>
      <c r="C34" s="58">
        <f>(0.16*350000)</f>
        <v>56000</v>
      </c>
      <c r="D34" s="58">
        <v>35000</v>
      </c>
      <c r="E34" s="58">
        <v>295000</v>
      </c>
    </row>
    <row r="35" spans="1:11" x14ac:dyDescent="0.25">
      <c r="E35" s="58"/>
      <c r="I35" s="248"/>
    </row>
    <row r="36" spans="1:11" x14ac:dyDescent="0.25">
      <c r="A36" s="114" t="s">
        <v>163</v>
      </c>
      <c r="B36" s="115">
        <f>SUM(B31:B34)</f>
        <v>563631</v>
      </c>
      <c r="C36" s="115">
        <f t="shared" ref="C36:D36" si="1">SUM(C31:C34)</f>
        <v>844389</v>
      </c>
      <c r="D36" s="115">
        <f t="shared" si="1"/>
        <v>124957</v>
      </c>
      <c r="E36" s="58"/>
      <c r="K36" s="80"/>
    </row>
    <row r="37" spans="1:11" x14ac:dyDescent="0.25">
      <c r="B37" s="153"/>
      <c r="C37" s="153"/>
      <c r="D37" s="153"/>
      <c r="E37" s="153"/>
    </row>
    <row r="38" spans="1:11" x14ac:dyDescent="0.25">
      <c r="C38" s="122"/>
    </row>
    <row r="39" spans="1:11" x14ac:dyDescent="0.25">
      <c r="A39" s="243" t="s">
        <v>262</v>
      </c>
      <c r="B39" s="243" t="s">
        <v>263</v>
      </c>
      <c r="C39" s="243" t="s">
        <v>264</v>
      </c>
      <c r="D39" s="244" t="s">
        <v>265</v>
      </c>
    </row>
    <row r="40" spans="1:11" x14ac:dyDescent="0.25">
      <c r="D40" s="76"/>
    </row>
    <row r="41" spans="1:11" x14ac:dyDescent="0.25">
      <c r="A41" s="143" t="s">
        <v>266</v>
      </c>
      <c r="B41" s="144">
        <v>0.94</v>
      </c>
      <c r="C41" s="246">
        <v>0.96</v>
      </c>
      <c r="D41" s="144">
        <f>SUM(E6:E8)/E22</f>
        <v>0.98063832718271282</v>
      </c>
    </row>
  </sheetData>
  <pageMargins left="0.7" right="0.7" top="0.75" bottom="0.75" header="0.3" footer="0.3"/>
  <pageSetup orientation="landscape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4"/>
  <sheetViews>
    <sheetView zoomScale="170" zoomScaleNormal="170" workbookViewId="0">
      <selection activeCell="A7" sqref="A7"/>
    </sheetView>
  </sheetViews>
  <sheetFormatPr defaultRowHeight="15" x14ac:dyDescent="0.25"/>
  <cols>
    <col min="1" max="1" width="29.140625" customWidth="1"/>
    <col min="2" max="2" width="20.28515625" customWidth="1"/>
    <col min="3" max="3" width="21" customWidth="1"/>
    <col min="4" max="4" width="20.140625" customWidth="1"/>
    <col min="5" max="5" width="20.5703125" customWidth="1"/>
    <col min="6" max="6" width="19.28515625" customWidth="1"/>
  </cols>
  <sheetData>
    <row r="1" spans="1:6" ht="20.25" x14ac:dyDescent="0.4">
      <c r="A1" s="27" t="s">
        <v>103</v>
      </c>
      <c r="B1" s="68" t="s">
        <v>218</v>
      </c>
      <c r="C1" s="69" t="s">
        <v>219</v>
      </c>
      <c r="D1" s="70" t="s">
        <v>220</v>
      </c>
      <c r="E1" s="71" t="s">
        <v>223</v>
      </c>
      <c r="F1" s="159" t="s">
        <v>221</v>
      </c>
    </row>
    <row r="2" spans="1:6" x14ac:dyDescent="0.25">
      <c r="A2" s="28"/>
      <c r="B2" s="10"/>
      <c r="C2" s="21"/>
      <c r="D2" s="14"/>
      <c r="E2" s="15"/>
      <c r="F2" s="156"/>
    </row>
    <row r="3" spans="1:6" x14ac:dyDescent="0.25">
      <c r="A3" s="29" t="s">
        <v>97</v>
      </c>
      <c r="B3" s="20"/>
      <c r="C3" s="22"/>
      <c r="D3" s="23"/>
      <c r="E3" s="17"/>
      <c r="F3" s="156"/>
    </row>
    <row r="4" spans="1:6" x14ac:dyDescent="0.25">
      <c r="A4" s="28" t="s">
        <v>104</v>
      </c>
      <c r="B4" s="16">
        <v>61150</v>
      </c>
      <c r="C4" s="66">
        <v>28610</v>
      </c>
      <c r="D4" s="55">
        <v>45000</v>
      </c>
      <c r="E4" s="6">
        <v>55000</v>
      </c>
      <c r="F4" s="170">
        <f>(E4-B4)/B4</f>
        <v>-0.10057236304170074</v>
      </c>
    </row>
    <row r="5" spans="1:6" x14ac:dyDescent="0.25">
      <c r="A5" s="28"/>
      <c r="B5" s="16"/>
      <c r="C5" s="25"/>
      <c r="D5" s="55"/>
      <c r="E5" s="6"/>
      <c r="F5" s="170"/>
    </row>
    <row r="6" spans="1:6" x14ac:dyDescent="0.25">
      <c r="A6" s="29" t="s">
        <v>105</v>
      </c>
      <c r="B6" s="16"/>
      <c r="C6" s="25"/>
      <c r="D6" s="55"/>
      <c r="E6" s="6"/>
      <c r="F6" s="170"/>
    </row>
    <row r="7" spans="1:6" x14ac:dyDescent="0.25">
      <c r="A7" s="28" t="s">
        <v>106</v>
      </c>
      <c r="B7" s="16">
        <v>55035</v>
      </c>
      <c r="C7" s="66">
        <f>(0.96*C4)</f>
        <v>27465.599999999999</v>
      </c>
      <c r="D7" s="55">
        <f>(0.96*D4)</f>
        <v>43200</v>
      </c>
      <c r="E7" s="6">
        <f>(E4*0.75)</f>
        <v>41250</v>
      </c>
      <c r="F7" s="170">
        <f t="shared" ref="F7:F10" si="0">(E7-B7)/B7</f>
        <v>-0.25047696920141727</v>
      </c>
    </row>
    <row r="8" spans="1:6" x14ac:dyDescent="0.25">
      <c r="A8" s="28" t="s">
        <v>107</v>
      </c>
      <c r="B8" s="16">
        <v>6115</v>
      </c>
      <c r="C8" s="66">
        <f>(0.04*C4)</f>
        <v>1144.4000000000001</v>
      </c>
      <c r="D8" s="55">
        <f>(0.04*D4)</f>
        <v>1800</v>
      </c>
      <c r="E8" s="6">
        <f>(E4*0.25)</f>
        <v>13750</v>
      </c>
      <c r="F8" s="170">
        <f t="shared" si="0"/>
        <v>1.2485690923957482</v>
      </c>
    </row>
    <row r="9" spans="1:6" x14ac:dyDescent="0.25">
      <c r="A9" s="28"/>
      <c r="B9" s="16"/>
      <c r="C9" s="104"/>
      <c r="D9" s="55"/>
      <c r="E9" s="6"/>
      <c r="F9" s="170"/>
    </row>
    <row r="10" spans="1:6" x14ac:dyDescent="0.25">
      <c r="A10" s="29" t="s">
        <v>130</v>
      </c>
      <c r="B10" s="16">
        <v>61150</v>
      </c>
      <c r="C10" s="66">
        <f>SUM(C7:C8)</f>
        <v>28610</v>
      </c>
      <c r="D10" s="55">
        <f>SUM(D7:D8)</f>
        <v>45000</v>
      </c>
      <c r="E10" s="6">
        <f>SUM(E7:E8)</f>
        <v>55000</v>
      </c>
      <c r="F10" s="170">
        <f t="shared" si="0"/>
        <v>-0.10057236304170074</v>
      </c>
    </row>
    <row r="11" spans="1:6" x14ac:dyDescent="0.25">
      <c r="A11" s="28"/>
      <c r="B11" s="24"/>
      <c r="C11" s="25"/>
      <c r="D11" s="8"/>
      <c r="E11" s="4"/>
      <c r="F11" s="157"/>
    </row>
    <row r="12" spans="1:6" x14ac:dyDescent="0.25">
      <c r="A12" s="28"/>
      <c r="B12" s="24"/>
      <c r="C12" s="25"/>
      <c r="D12" s="8"/>
      <c r="E12" s="4"/>
      <c r="F12" s="157"/>
    </row>
    <row r="13" spans="1:6" x14ac:dyDescent="0.25">
      <c r="A13" s="30" t="s">
        <v>102</v>
      </c>
      <c r="B13" s="24">
        <f>(B4-B10)</f>
        <v>0</v>
      </c>
      <c r="C13" s="25">
        <v>0</v>
      </c>
      <c r="D13" s="8">
        <v>0</v>
      </c>
      <c r="E13" s="4">
        <v>0</v>
      </c>
      <c r="F13" s="164" t="s">
        <v>200</v>
      </c>
    </row>
    <row r="14" spans="1:6" x14ac:dyDescent="0.25">
      <c r="D14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9"/>
  <sheetViews>
    <sheetView zoomScale="150" zoomScaleNormal="150" workbookViewId="0">
      <selection sqref="A1:E17"/>
    </sheetView>
  </sheetViews>
  <sheetFormatPr defaultRowHeight="15" x14ac:dyDescent="0.25"/>
  <cols>
    <col min="1" max="1" width="39" customWidth="1"/>
    <col min="2" max="2" width="16.28515625" customWidth="1"/>
    <col min="3" max="3" width="17.5703125" customWidth="1"/>
    <col min="4" max="4" width="19.140625" customWidth="1"/>
    <col min="5" max="5" width="18.7109375" customWidth="1"/>
    <col min="6" max="6" width="19.42578125" customWidth="1"/>
  </cols>
  <sheetData>
    <row r="1" spans="1:6" ht="18.75" x14ac:dyDescent="0.3">
      <c r="A1" s="27" t="s">
        <v>108</v>
      </c>
      <c r="B1" s="86" t="s">
        <v>218</v>
      </c>
      <c r="C1" s="87" t="s">
        <v>219</v>
      </c>
      <c r="D1" s="90" t="s">
        <v>220</v>
      </c>
      <c r="E1" s="88" t="s">
        <v>223</v>
      </c>
      <c r="F1" s="158" t="s">
        <v>221</v>
      </c>
    </row>
    <row r="2" spans="1:6" x14ac:dyDescent="0.25">
      <c r="A2" s="28"/>
      <c r="B2" s="10"/>
      <c r="C2" s="21"/>
      <c r="D2" s="14"/>
      <c r="E2" s="15"/>
      <c r="F2" s="156"/>
    </row>
    <row r="3" spans="1:6" x14ac:dyDescent="0.25">
      <c r="A3" s="91" t="s">
        <v>109</v>
      </c>
      <c r="B3" s="20"/>
      <c r="C3" s="22"/>
      <c r="D3" s="23"/>
      <c r="E3" s="17"/>
      <c r="F3" s="156"/>
    </row>
    <row r="4" spans="1:6" x14ac:dyDescent="0.25">
      <c r="A4" s="93" t="s">
        <v>145</v>
      </c>
      <c r="B4" s="16">
        <v>1200</v>
      </c>
      <c r="C4" s="54">
        <v>290</v>
      </c>
      <c r="D4" s="55">
        <f>(C4/8)*12</f>
        <v>435</v>
      </c>
      <c r="E4" s="6">
        <v>800</v>
      </c>
      <c r="F4" s="157">
        <f>(E4-B4)/B4</f>
        <v>-0.33333333333333331</v>
      </c>
    </row>
    <row r="5" spans="1:6" s="3" customFormat="1" x14ac:dyDescent="0.25">
      <c r="A5" s="93" t="s">
        <v>146</v>
      </c>
      <c r="B5" s="16">
        <v>1000</v>
      </c>
      <c r="C5" s="54">
        <v>322.3</v>
      </c>
      <c r="D5" s="55">
        <f>(C5/8)*12</f>
        <v>483.45000000000005</v>
      </c>
      <c r="E5" s="6">
        <v>700</v>
      </c>
      <c r="F5" s="157">
        <f t="shared" ref="F5:F19" si="0">(E5-B5)/B5</f>
        <v>-0.3</v>
      </c>
    </row>
    <row r="6" spans="1:6" s="153" customFormat="1" x14ac:dyDescent="0.25">
      <c r="A6" s="93" t="s">
        <v>201</v>
      </c>
      <c r="B6" s="16">
        <v>0</v>
      </c>
      <c r="C6" s="54">
        <v>75000</v>
      </c>
      <c r="D6" s="55">
        <v>75000</v>
      </c>
      <c r="E6" s="6">
        <v>0</v>
      </c>
      <c r="F6" s="157"/>
    </row>
    <row r="7" spans="1:6" s="3" customFormat="1" x14ac:dyDescent="0.25">
      <c r="A7" s="93"/>
      <c r="B7" s="16"/>
      <c r="C7" s="54"/>
      <c r="D7" s="55"/>
      <c r="E7" s="6"/>
      <c r="F7" s="157"/>
    </row>
    <row r="8" spans="1:6" x14ac:dyDescent="0.25">
      <c r="A8" s="94" t="s">
        <v>132</v>
      </c>
      <c r="B8" s="16">
        <v>2200</v>
      </c>
      <c r="C8" s="66">
        <f>SUM(C4:C6)</f>
        <v>75612.3</v>
      </c>
      <c r="D8" s="55">
        <f>SUM(D4:D6)</f>
        <v>75918.45</v>
      </c>
      <c r="E8" s="6">
        <f>SUM(E4:E6)</f>
        <v>1500</v>
      </c>
      <c r="F8" s="157">
        <f t="shared" si="0"/>
        <v>-0.31818181818181818</v>
      </c>
    </row>
    <row r="9" spans="1:6" x14ac:dyDescent="0.25">
      <c r="A9" s="7"/>
      <c r="B9" s="16"/>
      <c r="C9" s="54"/>
      <c r="D9" s="55"/>
      <c r="E9" s="6"/>
      <c r="F9" s="157"/>
    </row>
    <row r="10" spans="1:6" x14ac:dyDescent="0.25">
      <c r="A10" s="91" t="s">
        <v>105</v>
      </c>
      <c r="B10" s="16"/>
      <c r="C10" s="66"/>
      <c r="D10" s="55"/>
      <c r="E10" s="6"/>
      <c r="F10" s="157"/>
    </row>
    <row r="11" spans="1:6" x14ac:dyDescent="0.25">
      <c r="A11" s="92" t="s">
        <v>145</v>
      </c>
      <c r="B11" s="16">
        <v>1200</v>
      </c>
      <c r="C11" s="67">
        <v>0</v>
      </c>
      <c r="D11" s="8">
        <v>0</v>
      </c>
      <c r="E11" s="6">
        <v>800</v>
      </c>
      <c r="F11" s="157">
        <f t="shared" si="0"/>
        <v>-0.33333333333333331</v>
      </c>
    </row>
    <row r="12" spans="1:6" s="3" customFormat="1" x14ac:dyDescent="0.25">
      <c r="A12" s="92" t="s">
        <v>146</v>
      </c>
      <c r="B12" s="16">
        <v>1000</v>
      </c>
      <c r="C12" s="67">
        <v>0</v>
      </c>
      <c r="D12" s="8">
        <v>0</v>
      </c>
      <c r="E12" s="6">
        <v>700</v>
      </c>
      <c r="F12" s="157">
        <f t="shared" si="0"/>
        <v>-0.3</v>
      </c>
    </row>
    <row r="13" spans="1:6" s="153" customFormat="1" x14ac:dyDescent="0.25">
      <c r="A13" s="92" t="s">
        <v>202</v>
      </c>
      <c r="B13" s="24">
        <v>0</v>
      </c>
      <c r="C13" s="54">
        <v>75000</v>
      </c>
      <c r="D13" s="55">
        <v>75000</v>
      </c>
      <c r="E13" s="6">
        <v>0</v>
      </c>
      <c r="F13" s="157"/>
    </row>
    <row r="14" spans="1:6" s="3" customFormat="1" x14ac:dyDescent="0.25">
      <c r="A14" s="92"/>
      <c r="B14" s="16"/>
      <c r="C14" s="54"/>
      <c r="D14" s="55"/>
      <c r="E14" s="6"/>
      <c r="F14" s="157"/>
    </row>
    <row r="15" spans="1:6" x14ac:dyDescent="0.25">
      <c r="A15" s="94" t="s">
        <v>52</v>
      </c>
      <c r="B15" s="16">
        <v>2200</v>
      </c>
      <c r="C15" s="66">
        <f>SUM(C11:C13)</f>
        <v>75000</v>
      </c>
      <c r="D15" s="55">
        <f>SUM(D11:D13)</f>
        <v>75000</v>
      </c>
      <c r="E15" s="6">
        <f>SUM(E11:E13)</f>
        <v>1500</v>
      </c>
      <c r="F15" s="157">
        <f t="shared" si="0"/>
        <v>-0.31818181818181818</v>
      </c>
    </row>
    <row r="16" spans="1:6" x14ac:dyDescent="0.25">
      <c r="A16" s="92"/>
      <c r="B16" s="16"/>
      <c r="C16" s="54"/>
      <c r="D16" s="55"/>
      <c r="E16" s="6"/>
      <c r="F16" s="157"/>
    </row>
    <row r="17" spans="1:6" s="153" customFormat="1" x14ac:dyDescent="0.25">
      <c r="A17" s="92" t="s">
        <v>187</v>
      </c>
      <c r="B17" s="16">
        <f>(B8-B15)</f>
        <v>0</v>
      </c>
      <c r="C17" s="54">
        <f>(C8-C15)</f>
        <v>612.30000000000291</v>
      </c>
      <c r="D17" s="120">
        <f>(D8-D15)</f>
        <v>918.44999999999709</v>
      </c>
      <c r="E17" s="6">
        <f>(E8-E15)</f>
        <v>0</v>
      </c>
      <c r="F17" s="157"/>
    </row>
    <row r="18" spans="1:6" s="3" customFormat="1" x14ac:dyDescent="0.25">
      <c r="A18" s="92"/>
      <c r="B18" s="16"/>
      <c r="C18" s="54"/>
      <c r="D18" s="55"/>
      <c r="E18" s="6"/>
      <c r="F18" s="157"/>
    </row>
    <row r="19" spans="1:6" x14ac:dyDescent="0.25">
      <c r="A19" s="94" t="s">
        <v>102</v>
      </c>
      <c r="B19" s="16">
        <v>4200</v>
      </c>
      <c r="C19" s="66">
        <f>(C8-C15)</f>
        <v>612.30000000000291</v>
      </c>
      <c r="D19" s="55">
        <f>(D4+D5)+B19</f>
        <v>5118.45</v>
      </c>
      <c r="E19" s="6">
        <f>(D19+E8)-E15</f>
        <v>5118.45</v>
      </c>
      <c r="F19" s="157">
        <f t="shared" si="0"/>
        <v>0.21867857142857139</v>
      </c>
    </row>
  </sheetData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EA6B4-55ED-47D5-A8B0-A62680C63DE7}">
  <dimension ref="A1:F14"/>
  <sheetViews>
    <sheetView zoomScale="160" zoomScaleNormal="160" workbookViewId="0">
      <selection sqref="A1:F14"/>
    </sheetView>
  </sheetViews>
  <sheetFormatPr defaultRowHeight="15" x14ac:dyDescent="0.25"/>
  <cols>
    <col min="1" max="1" width="29.7109375" customWidth="1"/>
    <col min="2" max="2" width="17.85546875" customWidth="1"/>
    <col min="3" max="3" width="18.7109375" customWidth="1"/>
    <col min="4" max="4" width="20.7109375" customWidth="1"/>
    <col min="5" max="5" width="20.42578125" customWidth="1"/>
    <col min="6" max="6" width="19.7109375" customWidth="1"/>
  </cols>
  <sheetData>
    <row r="1" spans="1:6" ht="18.75" x14ac:dyDescent="0.3">
      <c r="A1" s="27" t="s">
        <v>155</v>
      </c>
      <c r="B1" s="86" t="s">
        <v>218</v>
      </c>
      <c r="C1" s="87" t="s">
        <v>219</v>
      </c>
      <c r="D1" s="90" t="s">
        <v>220</v>
      </c>
      <c r="E1" s="88" t="s">
        <v>223</v>
      </c>
      <c r="F1" s="158" t="s">
        <v>221</v>
      </c>
    </row>
    <row r="2" spans="1:6" x14ac:dyDescent="0.25">
      <c r="A2" s="28"/>
      <c r="B2" s="10"/>
      <c r="C2" s="21"/>
      <c r="D2" s="14"/>
      <c r="E2" s="15"/>
      <c r="F2" s="156"/>
    </row>
    <row r="3" spans="1:6" x14ac:dyDescent="0.25">
      <c r="A3" s="91" t="s">
        <v>109</v>
      </c>
      <c r="B3" s="20"/>
      <c r="C3" s="22"/>
      <c r="D3" s="23"/>
      <c r="E3" s="17"/>
      <c r="F3" s="156"/>
    </row>
    <row r="4" spans="1:6" x14ac:dyDescent="0.25">
      <c r="A4" s="92" t="s">
        <v>131</v>
      </c>
      <c r="B4" s="16">
        <v>80825</v>
      </c>
      <c r="C4" s="66">
        <v>57166.92</v>
      </c>
      <c r="D4" s="55">
        <f>(C4/8)*12</f>
        <v>85750.38</v>
      </c>
      <c r="E4" s="6">
        <f>('General Fund'!H13)</f>
        <v>82857.142857142855</v>
      </c>
      <c r="F4" s="157">
        <f>(E4-B4)/B4</f>
        <v>2.5142503645442068E-2</v>
      </c>
    </row>
    <row r="5" spans="1:6" x14ac:dyDescent="0.25">
      <c r="A5" s="93"/>
      <c r="B5" s="16"/>
      <c r="C5" s="54"/>
      <c r="D5" s="55"/>
      <c r="E5" s="6"/>
      <c r="F5" s="157"/>
    </row>
    <row r="6" spans="1:6" x14ac:dyDescent="0.25">
      <c r="A6" s="94" t="s">
        <v>132</v>
      </c>
      <c r="B6" s="16">
        <f>(B4)</f>
        <v>80825</v>
      </c>
      <c r="C6" s="66">
        <f>(C4)</f>
        <v>57166.92</v>
      </c>
      <c r="D6" s="55">
        <f>(D4)</f>
        <v>85750.38</v>
      </c>
      <c r="E6" s="6">
        <f>(E4)</f>
        <v>82857.142857142855</v>
      </c>
      <c r="F6" s="157">
        <f>(E6-B6)/B6</f>
        <v>2.5142503645442068E-2</v>
      </c>
    </row>
    <row r="7" spans="1:6" x14ac:dyDescent="0.25">
      <c r="A7" s="7"/>
      <c r="B7" s="16"/>
      <c r="C7" s="54"/>
      <c r="D7" s="55"/>
      <c r="E7" s="6"/>
      <c r="F7" s="157"/>
    </row>
    <row r="8" spans="1:6" x14ac:dyDescent="0.25">
      <c r="A8" s="91" t="s">
        <v>105</v>
      </c>
      <c r="B8" s="16"/>
      <c r="C8" s="66"/>
      <c r="D8" s="55"/>
      <c r="E8" s="6"/>
      <c r="F8" s="157"/>
    </row>
    <row r="9" spans="1:6" x14ac:dyDescent="0.25">
      <c r="A9" s="92" t="s">
        <v>133</v>
      </c>
      <c r="B9" s="16">
        <v>80825</v>
      </c>
      <c r="C9" s="66">
        <f>(C6)</f>
        <v>57166.92</v>
      </c>
      <c r="D9" s="55">
        <f>(D6)</f>
        <v>85750.38</v>
      </c>
      <c r="E9" s="6">
        <f>(E6)</f>
        <v>82857.142857142855</v>
      </c>
      <c r="F9" s="157">
        <f>(E9-B9)/B9</f>
        <v>2.5142503645442068E-2</v>
      </c>
    </row>
    <row r="10" spans="1:6" x14ac:dyDescent="0.25">
      <c r="A10" s="92"/>
      <c r="B10" s="16"/>
      <c r="C10" s="54"/>
      <c r="D10" s="55"/>
      <c r="E10" s="6"/>
      <c r="F10" s="157"/>
    </row>
    <row r="11" spans="1:6" x14ac:dyDescent="0.25">
      <c r="A11" s="94" t="s">
        <v>52</v>
      </c>
      <c r="B11" s="16">
        <f>(B9)</f>
        <v>80825</v>
      </c>
      <c r="C11" s="66">
        <f>(C9)</f>
        <v>57166.92</v>
      </c>
      <c r="D11" s="55">
        <f>(D9)</f>
        <v>85750.38</v>
      </c>
      <c r="E11" s="6">
        <f>(E9)</f>
        <v>82857.142857142855</v>
      </c>
      <c r="F11" s="157">
        <f>(E11-B11)/B11</f>
        <v>2.5142503645442068E-2</v>
      </c>
    </row>
    <row r="12" spans="1:6" x14ac:dyDescent="0.25">
      <c r="A12" s="92"/>
      <c r="B12" s="16"/>
      <c r="C12" s="54"/>
      <c r="D12" s="55"/>
      <c r="E12" s="6"/>
      <c r="F12" s="157"/>
    </row>
    <row r="13" spans="1:6" x14ac:dyDescent="0.25">
      <c r="A13" s="92"/>
      <c r="B13" s="16"/>
      <c r="C13" s="54"/>
      <c r="D13" s="55"/>
      <c r="E13" s="6"/>
      <c r="F13" s="157"/>
    </row>
    <row r="14" spans="1:6" x14ac:dyDescent="0.25">
      <c r="A14" s="94" t="s">
        <v>102</v>
      </c>
      <c r="B14" s="16">
        <f>(B6-B11)</f>
        <v>0</v>
      </c>
      <c r="C14" s="66">
        <f>(C6-C11)</f>
        <v>0</v>
      </c>
      <c r="D14" s="55">
        <f>(D6-D11)</f>
        <v>0</v>
      </c>
      <c r="E14" s="6">
        <f>(E6-E11)</f>
        <v>0</v>
      </c>
      <c r="F14" s="15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8629D-D280-4B72-A17F-13A95DE4E205}">
  <dimension ref="A1:F15"/>
  <sheetViews>
    <sheetView workbookViewId="0">
      <selection activeCell="A19" sqref="A19"/>
    </sheetView>
  </sheetViews>
  <sheetFormatPr defaultRowHeight="15" x14ac:dyDescent="0.25"/>
  <cols>
    <col min="1" max="1" width="48.42578125" customWidth="1"/>
    <col min="2" max="3" width="17.140625" customWidth="1"/>
    <col min="4" max="4" width="21.7109375" customWidth="1"/>
    <col min="5" max="5" width="22.5703125" customWidth="1"/>
    <col min="6" max="6" width="22.42578125" customWidth="1"/>
    <col min="7" max="7" width="20.42578125" customWidth="1"/>
  </cols>
  <sheetData>
    <row r="1" spans="1:6" ht="18.75" x14ac:dyDescent="0.3">
      <c r="A1" s="27" t="s">
        <v>275</v>
      </c>
      <c r="B1" s="86" t="s">
        <v>218</v>
      </c>
      <c r="C1" s="87" t="s">
        <v>219</v>
      </c>
      <c r="D1" s="90" t="s">
        <v>220</v>
      </c>
      <c r="E1" s="88" t="s">
        <v>223</v>
      </c>
      <c r="F1" s="158" t="s">
        <v>221</v>
      </c>
    </row>
    <row r="2" spans="1:6" x14ac:dyDescent="0.25">
      <c r="A2" s="28"/>
      <c r="B2" s="10"/>
      <c r="C2" s="21"/>
      <c r="D2" s="14"/>
      <c r="E2" s="15"/>
      <c r="F2" s="156"/>
    </row>
    <row r="3" spans="1:6" x14ac:dyDescent="0.25">
      <c r="A3" s="91" t="s">
        <v>97</v>
      </c>
      <c r="B3" s="20"/>
      <c r="C3" s="22"/>
      <c r="D3" s="23"/>
      <c r="E3" s="17"/>
      <c r="F3" s="156"/>
    </row>
    <row r="4" spans="1:6" x14ac:dyDescent="0.25">
      <c r="A4" s="92" t="s">
        <v>276</v>
      </c>
      <c r="B4" s="16"/>
      <c r="C4" s="66"/>
      <c r="D4" s="55">
        <f>(C4/8)*12</f>
        <v>0</v>
      </c>
      <c r="E4" s="6">
        <v>253500</v>
      </c>
      <c r="F4" s="157" t="e">
        <f>(E4-B4)/B4</f>
        <v>#DIV/0!</v>
      </c>
    </row>
    <row r="5" spans="1:6" x14ac:dyDescent="0.25">
      <c r="A5" s="93"/>
      <c r="B5" s="16"/>
      <c r="C5" s="54"/>
      <c r="D5" s="55"/>
      <c r="E5" s="6"/>
      <c r="F5" s="157"/>
    </row>
    <row r="6" spans="1:6" x14ac:dyDescent="0.25">
      <c r="A6" s="94" t="s">
        <v>132</v>
      </c>
      <c r="B6" s="16">
        <f>(B4)</f>
        <v>0</v>
      </c>
      <c r="C6" s="66">
        <f>(C4)</f>
        <v>0</v>
      </c>
      <c r="D6" s="55">
        <f>(D4)</f>
        <v>0</v>
      </c>
      <c r="E6" s="6">
        <f>(E4)</f>
        <v>253500</v>
      </c>
      <c r="F6" s="157" t="e">
        <f>(E6-B6)/B6</f>
        <v>#DIV/0!</v>
      </c>
    </row>
    <row r="7" spans="1:6" x14ac:dyDescent="0.25">
      <c r="A7" s="7"/>
      <c r="B7" s="16"/>
      <c r="C7" s="54"/>
      <c r="D7" s="55"/>
      <c r="E7" s="6"/>
      <c r="F7" s="157"/>
    </row>
    <row r="8" spans="1:6" x14ac:dyDescent="0.25">
      <c r="A8" s="91" t="s">
        <v>105</v>
      </c>
      <c r="B8" s="16"/>
      <c r="C8" s="66"/>
      <c r="D8" s="55"/>
      <c r="E8" s="6"/>
      <c r="F8" s="157"/>
    </row>
    <row r="9" spans="1:6" x14ac:dyDescent="0.25">
      <c r="A9" s="92"/>
      <c r="B9" s="16"/>
      <c r="C9" s="66">
        <f>(C6)</f>
        <v>0</v>
      </c>
      <c r="D9" s="55">
        <f>(D6)</f>
        <v>0</v>
      </c>
      <c r="E9" s="6">
        <f>(E6)</f>
        <v>253500</v>
      </c>
      <c r="F9" s="157" t="e">
        <f>(E9-B9)/B9</f>
        <v>#DIV/0!</v>
      </c>
    </row>
    <row r="10" spans="1:6" x14ac:dyDescent="0.25">
      <c r="A10" s="92"/>
      <c r="B10" s="16"/>
      <c r="C10" s="54"/>
      <c r="D10" s="55"/>
      <c r="E10" s="6"/>
      <c r="F10" s="157"/>
    </row>
    <row r="11" spans="1:6" x14ac:dyDescent="0.25">
      <c r="A11" s="94" t="s">
        <v>52</v>
      </c>
      <c r="B11" s="16">
        <f>(B9)</f>
        <v>0</v>
      </c>
      <c r="C11" s="66">
        <f>(C9)</f>
        <v>0</v>
      </c>
      <c r="D11" s="55">
        <f>(D9)</f>
        <v>0</v>
      </c>
      <c r="E11" s="6">
        <f>(E9)</f>
        <v>253500</v>
      </c>
      <c r="F11" s="157" t="e">
        <f>(E11-B11)/B11</f>
        <v>#DIV/0!</v>
      </c>
    </row>
    <row r="12" spans="1:6" x14ac:dyDescent="0.25">
      <c r="A12" s="92"/>
      <c r="B12" s="16"/>
      <c r="C12" s="54"/>
      <c r="D12" s="55"/>
      <c r="E12" s="6"/>
      <c r="F12" s="157"/>
    </row>
    <row r="13" spans="1:6" x14ac:dyDescent="0.25">
      <c r="A13" s="92"/>
      <c r="B13" s="16"/>
      <c r="C13" s="54"/>
      <c r="D13" s="55"/>
      <c r="E13" s="6"/>
      <c r="F13" s="157"/>
    </row>
    <row r="14" spans="1:6" x14ac:dyDescent="0.25">
      <c r="A14" s="94" t="s">
        <v>102</v>
      </c>
      <c r="B14" s="16">
        <f>(B6-B11)</f>
        <v>0</v>
      </c>
      <c r="C14" s="66">
        <f>(C6-C11)</f>
        <v>0</v>
      </c>
      <c r="D14" s="55">
        <f>(D6-D11)</f>
        <v>0</v>
      </c>
      <c r="E14" s="6">
        <f>(E6-E11)</f>
        <v>0</v>
      </c>
      <c r="F14" s="157"/>
    </row>
    <row r="15" spans="1:6" x14ac:dyDescent="0.25">
      <c r="E15" s="76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140"/>
  <sheetViews>
    <sheetView topLeftCell="A109" zoomScale="130" zoomScaleNormal="130" workbookViewId="0">
      <selection activeCell="A128" sqref="A128"/>
    </sheetView>
  </sheetViews>
  <sheetFormatPr defaultRowHeight="16.5" customHeight="1" x14ac:dyDescent="0.25"/>
  <cols>
    <col min="1" max="1" width="31.7109375" customWidth="1"/>
    <col min="2" max="2" width="17.85546875" customWidth="1"/>
    <col min="3" max="3" width="17.42578125" customWidth="1"/>
    <col min="4" max="4" width="19.140625" customWidth="1"/>
    <col min="5" max="5" width="19" customWidth="1"/>
    <col min="6" max="6" width="14.85546875" customWidth="1"/>
    <col min="7" max="7" width="12.140625" customWidth="1"/>
    <col min="8" max="8" width="12.5703125" bestFit="1" customWidth="1"/>
    <col min="9" max="9" width="9.5703125" customWidth="1"/>
    <col min="10" max="10" width="12.5703125" bestFit="1" customWidth="1"/>
    <col min="13" max="13" width="30.7109375" customWidth="1"/>
    <col min="14" max="14" width="11.5703125" bestFit="1" customWidth="1"/>
  </cols>
  <sheetData>
    <row r="1" spans="1:10" s="3" customFormat="1" ht="16.5" customHeight="1" x14ac:dyDescent="0.25">
      <c r="A1" s="251" t="s">
        <v>208</v>
      </c>
      <c r="B1" s="251"/>
      <c r="C1" s="251"/>
      <c r="D1" s="251"/>
      <c r="E1" s="251"/>
      <c r="F1" s="251"/>
    </row>
    <row r="2" spans="1:10" s="3" customFormat="1" ht="16.5" customHeight="1" x14ac:dyDescent="0.25">
      <c r="A2" s="251"/>
      <c r="B2" s="251"/>
      <c r="C2" s="251"/>
      <c r="D2" s="251"/>
      <c r="E2" s="251"/>
      <c r="F2" s="251"/>
    </row>
    <row r="3" spans="1:10" s="3" customFormat="1" ht="16.5" customHeight="1" x14ac:dyDescent="0.25"/>
    <row r="4" spans="1:10" ht="16.5" customHeight="1" x14ac:dyDescent="0.4">
      <c r="A4" s="27" t="s">
        <v>110</v>
      </c>
      <c r="B4" s="68" t="s">
        <v>218</v>
      </c>
      <c r="C4" s="69" t="s">
        <v>219</v>
      </c>
      <c r="D4" s="70" t="s">
        <v>220</v>
      </c>
      <c r="E4" s="71" t="s">
        <v>223</v>
      </c>
      <c r="F4" s="159" t="s">
        <v>268</v>
      </c>
    </row>
    <row r="5" spans="1:10" ht="16.5" customHeight="1" x14ac:dyDescent="0.25">
      <c r="A5" s="203"/>
      <c r="B5" s="10"/>
      <c r="C5" s="21"/>
      <c r="D5" s="14"/>
      <c r="E5" s="15"/>
      <c r="F5" s="156"/>
    </row>
    <row r="6" spans="1:10" ht="16.5" customHeight="1" x14ac:dyDescent="0.25">
      <c r="A6" s="204" t="s">
        <v>97</v>
      </c>
      <c r="B6" s="20"/>
      <c r="C6" s="22"/>
      <c r="D6" s="23"/>
      <c r="E6" s="17"/>
      <c r="F6" s="156"/>
    </row>
    <row r="7" spans="1:10" ht="16.5" customHeight="1" x14ac:dyDescent="0.25">
      <c r="A7" s="205"/>
      <c r="B7" s="20"/>
      <c r="C7" s="22"/>
      <c r="D7" s="23"/>
      <c r="E7" s="17"/>
      <c r="F7" s="156"/>
      <c r="J7" s="58"/>
    </row>
    <row r="8" spans="1:10" ht="16.5" customHeight="1" x14ac:dyDescent="0.25">
      <c r="A8" s="206" t="s">
        <v>111</v>
      </c>
      <c r="B8" s="63">
        <v>420000</v>
      </c>
      <c r="C8" s="140">
        <v>266181</v>
      </c>
      <c r="D8" s="55">
        <v>415356</v>
      </c>
      <c r="E8" s="6">
        <v>424000</v>
      </c>
      <c r="F8" s="157">
        <f>(E8-B8)/B8</f>
        <v>9.5238095238095247E-3</v>
      </c>
      <c r="J8" s="58"/>
    </row>
    <row r="9" spans="1:10" ht="16.5" customHeight="1" x14ac:dyDescent="0.25">
      <c r="A9" s="206" t="s">
        <v>112</v>
      </c>
      <c r="B9" s="63">
        <v>1000</v>
      </c>
      <c r="C9" s="140">
        <v>750</v>
      </c>
      <c r="D9" s="55">
        <f>(C9/8)*12</f>
        <v>1125</v>
      </c>
      <c r="E9" s="6">
        <v>1000</v>
      </c>
      <c r="F9" s="157">
        <f t="shared" ref="F9:F14" si="0">(E9-B9)/B9</f>
        <v>0</v>
      </c>
      <c r="J9" s="58"/>
    </row>
    <row r="10" spans="1:10" ht="16.5" customHeight="1" x14ac:dyDescent="0.25">
      <c r="A10" s="206" t="s">
        <v>113</v>
      </c>
      <c r="B10" s="63">
        <v>30000</v>
      </c>
      <c r="C10" s="140">
        <f>(15000*0.9)</f>
        <v>13500</v>
      </c>
      <c r="D10" s="55">
        <f>(C10/8)*12</f>
        <v>20250</v>
      </c>
      <c r="E10" s="6">
        <v>20000</v>
      </c>
      <c r="F10" s="157">
        <f t="shared" si="0"/>
        <v>-0.33333333333333331</v>
      </c>
    </row>
    <row r="11" spans="1:10" ht="16.5" customHeight="1" x14ac:dyDescent="0.25">
      <c r="A11" s="206" t="s">
        <v>114</v>
      </c>
      <c r="B11" s="63">
        <v>0</v>
      </c>
      <c r="C11" s="140">
        <v>0</v>
      </c>
      <c r="D11" s="55">
        <v>0</v>
      </c>
      <c r="E11" s="6">
        <v>0</v>
      </c>
      <c r="F11" s="157">
        <v>0</v>
      </c>
    </row>
    <row r="12" spans="1:10" ht="16.5" customHeight="1" x14ac:dyDescent="0.25">
      <c r="A12" s="206" t="s">
        <v>190</v>
      </c>
      <c r="B12" s="63">
        <v>200</v>
      </c>
      <c r="C12" s="140">
        <v>385</v>
      </c>
      <c r="D12" s="55">
        <v>0</v>
      </c>
      <c r="E12" s="6">
        <v>0</v>
      </c>
      <c r="F12" s="157">
        <f t="shared" si="0"/>
        <v>-1</v>
      </c>
    </row>
    <row r="13" spans="1:10" ht="16.5" customHeight="1" x14ac:dyDescent="0.25">
      <c r="A13" s="206"/>
      <c r="B13" s="63"/>
      <c r="C13" s="140"/>
      <c r="D13" s="55"/>
      <c r="E13" s="6"/>
      <c r="F13" s="157"/>
    </row>
    <row r="14" spans="1:10" ht="16.5" customHeight="1" x14ac:dyDescent="0.25">
      <c r="A14" s="204" t="s">
        <v>134</v>
      </c>
      <c r="B14" s="142">
        <v>453200</v>
      </c>
      <c r="C14" s="141">
        <f>SUM(C8:C12)</f>
        <v>280816</v>
      </c>
      <c r="D14" s="59">
        <f>SUM(D8:D12)</f>
        <v>436731</v>
      </c>
      <c r="E14" s="19">
        <f>SUM(E8:E12)</f>
        <v>445000</v>
      </c>
      <c r="F14" s="175">
        <f t="shared" si="0"/>
        <v>-1.8093556928508385E-2</v>
      </c>
      <c r="G14" t="s">
        <v>110</v>
      </c>
      <c r="H14" s="58">
        <f>(E14)</f>
        <v>445000</v>
      </c>
    </row>
    <row r="15" spans="1:10" ht="16.5" customHeight="1" x14ac:dyDescent="0.25">
      <c r="A15" s="207"/>
      <c r="B15" s="95"/>
      <c r="C15" s="95"/>
      <c r="D15" s="7"/>
      <c r="E15" s="7"/>
      <c r="F15" s="7"/>
      <c r="G15" t="s">
        <v>120</v>
      </c>
      <c r="H15" s="58">
        <f>E60</f>
        <v>266500</v>
      </c>
    </row>
    <row r="16" spans="1:10" ht="16.5" customHeight="1" x14ac:dyDescent="0.25">
      <c r="A16" s="205"/>
      <c r="B16" s="95"/>
      <c r="C16" s="169"/>
      <c r="D16" s="7"/>
      <c r="E16" s="7"/>
      <c r="F16" s="7"/>
      <c r="G16" t="s">
        <v>125</v>
      </c>
      <c r="H16" s="58">
        <f>E96</f>
        <v>654000</v>
      </c>
    </row>
    <row r="17" spans="1:7" ht="16.5" customHeight="1" x14ac:dyDescent="0.25">
      <c r="A17" s="204" t="s">
        <v>105</v>
      </c>
      <c r="B17" s="95"/>
      <c r="C17" s="95"/>
      <c r="D17" s="7"/>
      <c r="E17" s="7"/>
      <c r="F17" s="7"/>
    </row>
    <row r="18" spans="1:7" s="3" customFormat="1" ht="16.5" customHeight="1" x14ac:dyDescent="0.25">
      <c r="A18" s="204"/>
      <c r="B18" s="95"/>
      <c r="C18" s="95"/>
      <c r="D18" s="7"/>
      <c r="E18" s="7"/>
      <c r="F18" s="7"/>
    </row>
    <row r="19" spans="1:7" s="3" customFormat="1" ht="16.5" customHeight="1" x14ac:dyDescent="0.25">
      <c r="A19" s="204" t="s">
        <v>110</v>
      </c>
      <c r="B19" s="95"/>
      <c r="C19" s="95"/>
      <c r="D19" s="7"/>
      <c r="E19" s="7"/>
      <c r="F19" s="7"/>
    </row>
    <row r="20" spans="1:7" s="3" customFormat="1" ht="16.5" customHeight="1" x14ac:dyDescent="0.25">
      <c r="A20" s="204"/>
      <c r="B20" s="95"/>
      <c r="C20" s="95"/>
      <c r="D20" s="7"/>
      <c r="E20" s="7"/>
      <c r="F20" s="7"/>
    </row>
    <row r="21" spans="1:7" ht="16.5" customHeight="1" x14ac:dyDescent="0.25">
      <c r="A21" s="206" t="s">
        <v>24</v>
      </c>
      <c r="B21" s="63">
        <v>97850</v>
      </c>
      <c r="C21" s="140">
        <v>66928</v>
      </c>
      <c r="D21" s="55">
        <f>(C21/8)*12</f>
        <v>100392</v>
      </c>
      <c r="E21" s="6">
        <v>101000</v>
      </c>
      <c r="F21" s="181">
        <f>(E21-B21)/B21</f>
        <v>3.2192130812468064E-2</v>
      </c>
      <c r="G21" s="58"/>
    </row>
    <row r="22" spans="1:7" ht="16.5" customHeight="1" x14ac:dyDescent="0.25">
      <c r="A22" s="206" t="s">
        <v>25</v>
      </c>
      <c r="B22" s="63">
        <v>2100</v>
      </c>
      <c r="C22" s="140">
        <v>2082</v>
      </c>
      <c r="D22" s="55">
        <v>2082</v>
      </c>
      <c r="E22" s="6">
        <v>2150</v>
      </c>
      <c r="F22" s="157">
        <f t="shared" ref="F22:F53" si="1">(E22-B22)/B22</f>
        <v>2.3809523809523808E-2</v>
      </c>
    </row>
    <row r="23" spans="1:7" ht="16.5" customHeight="1" x14ac:dyDescent="0.25">
      <c r="A23" s="206" t="s">
        <v>26</v>
      </c>
      <c r="B23" s="63">
        <v>7500</v>
      </c>
      <c r="C23" s="140">
        <v>5095</v>
      </c>
      <c r="D23" s="55">
        <f t="shared" ref="D23:D49" si="2">(C23/8)*12</f>
        <v>7642.5</v>
      </c>
      <c r="E23" s="6">
        <v>7700</v>
      </c>
      <c r="F23" s="157">
        <f t="shared" si="1"/>
        <v>2.6666666666666668E-2</v>
      </c>
    </row>
    <row r="24" spans="1:7" ht="16.5" customHeight="1" x14ac:dyDescent="0.25">
      <c r="A24" s="206" t="s">
        <v>27</v>
      </c>
      <c r="B24" s="63">
        <v>750</v>
      </c>
      <c r="C24" s="140">
        <v>360</v>
      </c>
      <c r="D24" s="55">
        <f t="shared" si="2"/>
        <v>540</v>
      </c>
      <c r="E24" s="6">
        <v>750</v>
      </c>
      <c r="F24" s="157">
        <f t="shared" si="1"/>
        <v>0</v>
      </c>
    </row>
    <row r="25" spans="1:7" ht="16.5" customHeight="1" x14ac:dyDescent="0.25">
      <c r="A25" s="206" t="s">
        <v>28</v>
      </c>
      <c r="B25" s="63">
        <v>20730</v>
      </c>
      <c r="C25" s="140">
        <f>(691*2.5)*8</f>
        <v>13820</v>
      </c>
      <c r="D25" s="55">
        <f t="shared" si="2"/>
        <v>20730</v>
      </c>
      <c r="E25" s="6">
        <f>(D25*1.03)</f>
        <v>21351.9</v>
      </c>
      <c r="F25" s="157">
        <f t="shared" si="1"/>
        <v>3.0000000000000072E-2</v>
      </c>
    </row>
    <row r="26" spans="1:7" ht="16.5" customHeight="1" x14ac:dyDescent="0.25">
      <c r="A26" s="206" t="s">
        <v>54</v>
      </c>
      <c r="B26" s="63">
        <v>4200</v>
      </c>
      <c r="C26" s="140">
        <v>2134</v>
      </c>
      <c r="D26" s="55">
        <f t="shared" si="2"/>
        <v>3201</v>
      </c>
      <c r="E26" s="6">
        <v>3800</v>
      </c>
      <c r="F26" s="157">
        <f t="shared" si="1"/>
        <v>-9.5238095238095233E-2</v>
      </c>
    </row>
    <row r="27" spans="1:7" ht="16.5" customHeight="1" x14ac:dyDescent="0.25">
      <c r="A27" s="206" t="s">
        <v>30</v>
      </c>
      <c r="B27" s="63">
        <v>1500</v>
      </c>
      <c r="C27" s="140">
        <v>1160</v>
      </c>
      <c r="D27" s="55">
        <f t="shared" si="2"/>
        <v>1740</v>
      </c>
      <c r="E27" s="6">
        <v>1800</v>
      </c>
      <c r="F27" s="157">
        <f t="shared" si="1"/>
        <v>0.2</v>
      </c>
    </row>
    <row r="28" spans="1:7" ht="16.5" customHeight="1" x14ac:dyDescent="0.25">
      <c r="A28" s="206" t="s">
        <v>55</v>
      </c>
      <c r="B28" s="63">
        <v>1200</v>
      </c>
      <c r="C28" s="140">
        <v>145</v>
      </c>
      <c r="D28" s="55">
        <f t="shared" si="2"/>
        <v>217.5</v>
      </c>
      <c r="E28" s="6">
        <v>1200</v>
      </c>
      <c r="F28" s="157">
        <f t="shared" si="1"/>
        <v>0</v>
      </c>
    </row>
    <row r="29" spans="1:7" ht="16.5" customHeight="1" x14ac:dyDescent="0.25">
      <c r="A29" s="206" t="s">
        <v>31</v>
      </c>
      <c r="B29" s="63">
        <v>1000</v>
      </c>
      <c r="C29" s="140">
        <v>375</v>
      </c>
      <c r="D29" s="55">
        <f t="shared" si="2"/>
        <v>562.5</v>
      </c>
      <c r="E29" s="6">
        <v>1000</v>
      </c>
      <c r="F29" s="157">
        <f t="shared" si="1"/>
        <v>0</v>
      </c>
    </row>
    <row r="30" spans="1:7" ht="16.5" customHeight="1" x14ac:dyDescent="0.25">
      <c r="A30" s="206" t="s">
        <v>32</v>
      </c>
      <c r="B30" s="63">
        <v>500</v>
      </c>
      <c r="C30" s="140">
        <v>220</v>
      </c>
      <c r="D30" s="55">
        <f t="shared" si="2"/>
        <v>330</v>
      </c>
      <c r="E30" s="6">
        <v>500</v>
      </c>
      <c r="F30" s="157">
        <f t="shared" si="1"/>
        <v>0</v>
      </c>
    </row>
    <row r="31" spans="1:7" ht="16.5" customHeight="1" x14ac:dyDescent="0.25">
      <c r="A31" s="206" t="s">
        <v>213</v>
      </c>
      <c r="B31" s="63">
        <v>0</v>
      </c>
      <c r="C31" s="140">
        <v>0</v>
      </c>
      <c r="D31" s="55">
        <f t="shared" si="2"/>
        <v>0</v>
      </c>
      <c r="E31" s="6">
        <v>5000</v>
      </c>
      <c r="F31" s="157" t="e">
        <f t="shared" si="1"/>
        <v>#DIV/0!</v>
      </c>
    </row>
    <row r="32" spans="1:7" ht="16.5" customHeight="1" x14ac:dyDescent="0.25">
      <c r="A32" s="206" t="s">
        <v>37</v>
      </c>
      <c r="B32" s="63">
        <v>12000</v>
      </c>
      <c r="C32" s="140">
        <v>5144</v>
      </c>
      <c r="D32" s="55">
        <f t="shared" si="2"/>
        <v>7716</v>
      </c>
      <c r="E32" s="6">
        <v>9500</v>
      </c>
      <c r="F32" s="157">
        <f t="shared" si="1"/>
        <v>-0.20833333333333334</v>
      </c>
    </row>
    <row r="33" spans="1:8" s="123" customFormat="1" ht="16.5" customHeight="1" x14ac:dyDescent="0.25">
      <c r="A33" s="206" t="s">
        <v>184</v>
      </c>
      <c r="B33" s="63">
        <v>15000</v>
      </c>
      <c r="C33" s="140">
        <v>0</v>
      </c>
      <c r="D33" s="55">
        <f t="shared" si="2"/>
        <v>0</v>
      </c>
      <c r="E33" s="6">
        <v>0</v>
      </c>
      <c r="F33" s="164" t="s">
        <v>200</v>
      </c>
    </row>
    <row r="34" spans="1:8" ht="16.5" customHeight="1" x14ac:dyDescent="0.25">
      <c r="A34" s="206" t="s">
        <v>39</v>
      </c>
      <c r="B34" s="63">
        <v>3500</v>
      </c>
      <c r="C34" s="140">
        <v>1265</v>
      </c>
      <c r="D34" s="55">
        <f t="shared" si="2"/>
        <v>1897.5</v>
      </c>
      <c r="E34" s="6">
        <v>2500</v>
      </c>
      <c r="F34" s="157">
        <f t="shared" si="1"/>
        <v>-0.2857142857142857</v>
      </c>
    </row>
    <row r="35" spans="1:8" ht="16.5" customHeight="1" x14ac:dyDescent="0.25">
      <c r="A35" s="206" t="s">
        <v>77</v>
      </c>
      <c r="B35" s="63">
        <v>8000</v>
      </c>
      <c r="C35" s="140">
        <v>3035</v>
      </c>
      <c r="D35" s="55">
        <f t="shared" si="2"/>
        <v>4552.5</v>
      </c>
      <c r="E35" s="6">
        <v>7000</v>
      </c>
      <c r="F35" s="157">
        <f t="shared" si="1"/>
        <v>-0.125</v>
      </c>
    </row>
    <row r="36" spans="1:8" ht="16.5" customHeight="1" x14ac:dyDescent="0.25">
      <c r="A36" s="206" t="s">
        <v>59</v>
      </c>
      <c r="B36" s="63">
        <v>20000</v>
      </c>
      <c r="C36" s="140">
        <v>9914</v>
      </c>
      <c r="D36" s="55">
        <f t="shared" si="2"/>
        <v>14871</v>
      </c>
      <c r="E36" s="6">
        <v>15000</v>
      </c>
      <c r="F36" s="157">
        <f t="shared" si="1"/>
        <v>-0.25</v>
      </c>
    </row>
    <row r="37" spans="1:8" ht="16.5" customHeight="1" x14ac:dyDescent="0.25">
      <c r="A37" s="206" t="s">
        <v>43</v>
      </c>
      <c r="B37" s="63">
        <v>6500</v>
      </c>
      <c r="C37" s="140">
        <v>4193</v>
      </c>
      <c r="D37" s="55">
        <f t="shared" si="2"/>
        <v>6289.5</v>
      </c>
      <c r="E37" s="6">
        <v>6500</v>
      </c>
      <c r="F37" s="157">
        <f t="shared" si="1"/>
        <v>0</v>
      </c>
    </row>
    <row r="38" spans="1:8" ht="16.5" customHeight="1" x14ac:dyDescent="0.25">
      <c r="A38" s="206" t="s">
        <v>51</v>
      </c>
      <c r="B38" s="63">
        <v>1000</v>
      </c>
      <c r="C38" s="140">
        <v>943</v>
      </c>
      <c r="D38" s="55">
        <v>1000</v>
      </c>
      <c r="E38" s="6">
        <v>1000</v>
      </c>
      <c r="F38" s="157">
        <f t="shared" si="1"/>
        <v>0</v>
      </c>
    </row>
    <row r="39" spans="1:8" ht="16.5" customHeight="1" x14ac:dyDescent="0.25">
      <c r="A39" s="206" t="s">
        <v>63</v>
      </c>
      <c r="B39" s="63">
        <v>4500</v>
      </c>
      <c r="C39" s="140">
        <v>1331</v>
      </c>
      <c r="D39" s="55">
        <f t="shared" si="2"/>
        <v>1996.5</v>
      </c>
      <c r="E39" s="6">
        <v>3500</v>
      </c>
      <c r="F39" s="157">
        <f t="shared" si="1"/>
        <v>-0.22222222222222221</v>
      </c>
    </row>
    <row r="40" spans="1:8" ht="16.5" customHeight="1" x14ac:dyDescent="0.25">
      <c r="A40" s="206" t="s">
        <v>115</v>
      </c>
      <c r="B40" s="63">
        <v>5000</v>
      </c>
      <c r="C40" s="140">
        <v>1962</v>
      </c>
      <c r="D40" s="55">
        <f t="shared" si="2"/>
        <v>2943</v>
      </c>
      <c r="E40" s="6">
        <v>5000</v>
      </c>
      <c r="F40" s="157">
        <f t="shared" si="1"/>
        <v>0</v>
      </c>
      <c r="H40" s="148"/>
    </row>
    <row r="41" spans="1:8" ht="16.5" customHeight="1" x14ac:dyDescent="0.25">
      <c r="A41" s="206" t="s">
        <v>116</v>
      </c>
      <c r="B41" s="63">
        <v>5000</v>
      </c>
      <c r="C41" s="140">
        <f>(50*8)</f>
        <v>400</v>
      </c>
      <c r="D41" s="55">
        <f t="shared" si="2"/>
        <v>600</v>
      </c>
      <c r="E41" s="6">
        <v>1000</v>
      </c>
      <c r="F41" s="157">
        <f t="shared" si="1"/>
        <v>-0.8</v>
      </c>
      <c r="H41" s="148"/>
    </row>
    <row r="42" spans="1:8" ht="16.5" customHeight="1" x14ac:dyDescent="0.25">
      <c r="A42" s="208" t="s">
        <v>46</v>
      </c>
      <c r="B42" s="63">
        <v>20000</v>
      </c>
      <c r="C42" s="140">
        <v>21139</v>
      </c>
      <c r="D42" s="55">
        <v>28795</v>
      </c>
      <c r="E42" s="6">
        <v>25000</v>
      </c>
      <c r="F42" s="195">
        <f t="shared" si="1"/>
        <v>0.25</v>
      </c>
      <c r="H42" s="148"/>
    </row>
    <row r="43" spans="1:8" ht="16.5" customHeight="1" x14ac:dyDescent="0.25">
      <c r="A43" s="208" t="s">
        <v>70</v>
      </c>
      <c r="B43" s="63">
        <v>20000</v>
      </c>
      <c r="C43" s="140">
        <f>(35423)</f>
        <v>35423</v>
      </c>
      <c r="D43" s="55">
        <v>40000</v>
      </c>
      <c r="E43" s="6">
        <v>20000</v>
      </c>
      <c r="F43" s="195">
        <f t="shared" si="1"/>
        <v>0</v>
      </c>
      <c r="G43" s="58"/>
      <c r="H43" s="148"/>
    </row>
    <row r="44" spans="1:8" ht="16.5" customHeight="1" x14ac:dyDescent="0.25">
      <c r="A44" s="208" t="s">
        <v>48</v>
      </c>
      <c r="B44" s="63">
        <v>3000</v>
      </c>
      <c r="C44" s="140">
        <f>(4238-2789.98)</f>
        <v>1448.02</v>
      </c>
      <c r="D44" s="55">
        <f t="shared" si="2"/>
        <v>2172.0299999999997</v>
      </c>
      <c r="E44" s="6">
        <v>3000</v>
      </c>
      <c r="F44" s="195">
        <f t="shared" si="1"/>
        <v>0</v>
      </c>
      <c r="H44" s="148"/>
    </row>
    <row r="45" spans="1:8" ht="16.5" customHeight="1" x14ac:dyDescent="0.25">
      <c r="A45" s="208" t="s">
        <v>117</v>
      </c>
      <c r="B45" s="63">
        <v>10000</v>
      </c>
      <c r="C45" s="140">
        <v>10000</v>
      </c>
      <c r="D45" s="55">
        <v>10000</v>
      </c>
      <c r="E45" s="6">
        <v>10000</v>
      </c>
      <c r="F45" s="195">
        <f t="shared" si="1"/>
        <v>0</v>
      </c>
      <c r="H45" s="148"/>
    </row>
    <row r="46" spans="1:8" ht="16.5" customHeight="1" x14ac:dyDescent="0.25">
      <c r="A46" s="208" t="s">
        <v>118</v>
      </c>
      <c r="B46" s="63">
        <v>10000</v>
      </c>
      <c r="C46" s="140">
        <v>10000</v>
      </c>
      <c r="D46" s="55">
        <v>10000</v>
      </c>
      <c r="E46" s="6">
        <v>10000</v>
      </c>
      <c r="F46" s="195">
        <f t="shared" si="1"/>
        <v>0</v>
      </c>
      <c r="G46" s="58"/>
      <c r="H46" s="58"/>
    </row>
    <row r="47" spans="1:8" ht="16.5" customHeight="1" x14ac:dyDescent="0.25">
      <c r="A47" s="206" t="s">
        <v>119</v>
      </c>
      <c r="B47" s="63">
        <v>138000</v>
      </c>
      <c r="C47" s="140">
        <v>19399</v>
      </c>
      <c r="D47" s="55">
        <f t="shared" si="2"/>
        <v>29098.5</v>
      </c>
      <c r="E47" s="6">
        <f>(81752+20000)</f>
        <v>101752</v>
      </c>
      <c r="F47" s="157">
        <f t="shared" si="1"/>
        <v>-0.26266666666666666</v>
      </c>
      <c r="H47" s="148"/>
    </row>
    <row r="48" spans="1:8" s="148" customFormat="1" ht="16.5" customHeight="1" x14ac:dyDescent="0.25">
      <c r="A48" s="206" t="s">
        <v>192</v>
      </c>
      <c r="B48" s="63">
        <v>0</v>
      </c>
      <c r="C48" s="140">
        <v>0</v>
      </c>
      <c r="D48" s="55">
        <f t="shared" si="2"/>
        <v>0</v>
      </c>
      <c r="E48" s="6">
        <v>24514</v>
      </c>
      <c r="F48" s="157" t="e">
        <f t="shared" si="1"/>
        <v>#DIV/0!</v>
      </c>
    </row>
    <row r="49" spans="1:13" s="153" customFormat="1" ht="16.5" customHeight="1" x14ac:dyDescent="0.25">
      <c r="A49" s="206" t="s">
        <v>72</v>
      </c>
      <c r="B49" s="63">
        <v>25000</v>
      </c>
      <c r="C49" s="140">
        <v>0</v>
      </c>
      <c r="D49" s="55">
        <f t="shared" si="2"/>
        <v>0</v>
      </c>
      <c r="E49" s="6">
        <v>20000</v>
      </c>
      <c r="F49" s="157">
        <f t="shared" si="1"/>
        <v>-0.2</v>
      </c>
    </row>
    <row r="50" spans="1:13" ht="16.5" customHeight="1" x14ac:dyDescent="0.25">
      <c r="A50" s="206"/>
      <c r="B50" s="49"/>
      <c r="C50" s="155"/>
      <c r="D50" s="23"/>
      <c r="E50" s="9"/>
      <c r="F50" s="157"/>
      <c r="H50" s="148"/>
    </row>
    <row r="51" spans="1:13" ht="16.5" customHeight="1" x14ac:dyDescent="0.25">
      <c r="A51" s="205" t="s">
        <v>52</v>
      </c>
      <c r="B51" s="63">
        <f>SUM(B21:B49)</f>
        <v>443830</v>
      </c>
      <c r="C51" s="140">
        <f>SUM(C21:C49)</f>
        <v>217915.02</v>
      </c>
      <c r="D51" s="55">
        <f>SUM(D21:D48)</f>
        <v>299369.03000000003</v>
      </c>
      <c r="E51" s="6">
        <f>SUM(E21:E49)</f>
        <v>411517.9</v>
      </c>
      <c r="F51" s="157">
        <f t="shared" si="1"/>
        <v>-7.2802874974652404E-2</v>
      </c>
      <c r="H51" s="148"/>
    </row>
    <row r="52" spans="1:13" ht="16.5" customHeight="1" x14ac:dyDescent="0.25">
      <c r="A52" s="206"/>
      <c r="B52" s="20"/>
      <c r="C52" s="21"/>
      <c r="D52" s="23"/>
      <c r="E52" s="9"/>
      <c r="F52" s="157"/>
      <c r="H52" s="148"/>
    </row>
    <row r="53" spans="1:13" ht="16.5" customHeight="1" x14ac:dyDescent="0.4">
      <c r="A53" s="204" t="s">
        <v>135</v>
      </c>
      <c r="B53" s="52">
        <f>(B14-B51)</f>
        <v>9370</v>
      </c>
      <c r="C53" s="65">
        <f>(C14-C51)</f>
        <v>62900.98000000001</v>
      </c>
      <c r="D53" s="98">
        <f>(D14-D51)</f>
        <v>137361.96999999997</v>
      </c>
      <c r="E53" s="53">
        <f>(E14-E51)</f>
        <v>33482.099999999977</v>
      </c>
      <c r="F53" s="157">
        <f t="shared" si="1"/>
        <v>2.5733297758804672</v>
      </c>
      <c r="H53" s="148"/>
    </row>
    <row r="54" spans="1:13" ht="16.5" customHeight="1" x14ac:dyDescent="0.25">
      <c r="A54" s="209"/>
      <c r="B54" s="3"/>
      <c r="C54" s="3"/>
      <c r="D54" s="3"/>
      <c r="E54" s="3"/>
      <c r="H54" s="148"/>
    </row>
    <row r="55" spans="1:13" ht="16.5" customHeight="1" x14ac:dyDescent="0.25">
      <c r="A55" s="209"/>
      <c r="B55" s="3"/>
      <c r="C55" s="3"/>
      <c r="D55" s="3"/>
      <c r="E55" s="3"/>
      <c r="H55" s="148"/>
    </row>
    <row r="56" spans="1:13" ht="16.5" customHeight="1" x14ac:dyDescent="0.3">
      <c r="A56" s="27" t="s">
        <v>120</v>
      </c>
      <c r="B56" s="7"/>
      <c r="C56" s="7"/>
      <c r="D56" s="7"/>
      <c r="E56" s="7"/>
      <c r="F56" s="7"/>
      <c r="H56" s="148"/>
    </row>
    <row r="57" spans="1:13" s="153" customFormat="1" ht="16.5" customHeight="1" x14ac:dyDescent="0.25">
      <c r="A57" s="29"/>
      <c r="B57" s="7"/>
      <c r="C57" s="7"/>
      <c r="D57" s="7"/>
      <c r="E57" s="7"/>
      <c r="F57" s="7"/>
    </row>
    <row r="58" spans="1:13" s="153" customFormat="1" ht="16.5" customHeight="1" x14ac:dyDescent="0.25">
      <c r="A58" s="30" t="s">
        <v>97</v>
      </c>
      <c r="B58" s="16"/>
      <c r="C58" s="66"/>
      <c r="D58" s="55"/>
      <c r="E58" s="6"/>
      <c r="F58" s="176"/>
    </row>
    <row r="59" spans="1:13" s="153" customFormat="1" ht="16.5" customHeight="1" x14ac:dyDescent="0.25">
      <c r="A59" s="30"/>
      <c r="B59" s="16"/>
      <c r="C59" s="66"/>
      <c r="D59" s="55"/>
      <c r="E59" s="6"/>
      <c r="F59" s="176"/>
    </row>
    <row r="60" spans="1:13" ht="16.5" customHeight="1" x14ac:dyDescent="0.25">
      <c r="A60" s="28" t="s">
        <v>136</v>
      </c>
      <c r="B60" s="16">
        <v>266500</v>
      </c>
      <c r="C60" s="66">
        <f>(176414*0.96)</f>
        <v>169357.44</v>
      </c>
      <c r="D60" s="55">
        <f>(C60/8)*12</f>
        <v>254036.16</v>
      </c>
      <c r="E60" s="6">
        <v>266500</v>
      </c>
      <c r="F60" s="176">
        <f>(E60-B60)/B60</f>
        <v>0</v>
      </c>
      <c r="H60" s="148"/>
      <c r="M60" s="117"/>
    </row>
    <row r="61" spans="1:13" s="153" customFormat="1" ht="16.5" customHeight="1" x14ac:dyDescent="0.25">
      <c r="A61" s="28"/>
      <c r="B61" s="16"/>
      <c r="C61" s="66"/>
      <c r="D61" s="55"/>
      <c r="E61" s="6"/>
      <c r="F61" s="176"/>
      <c r="M61" s="117"/>
    </row>
    <row r="62" spans="1:13" s="153" customFormat="1" ht="16.5" customHeight="1" x14ac:dyDescent="0.25">
      <c r="A62" s="30" t="s">
        <v>214</v>
      </c>
      <c r="B62" s="16">
        <f>B60</f>
        <v>266500</v>
      </c>
      <c r="C62" s="54">
        <f>(C60)</f>
        <v>169357.44</v>
      </c>
      <c r="D62" s="55">
        <f>(D60)</f>
        <v>254036.16</v>
      </c>
      <c r="E62" s="6">
        <f t="shared" ref="E62" si="3">E60</f>
        <v>266500</v>
      </c>
      <c r="F62" s="176">
        <f t="shared" ref="F62" si="4">(E62-B62)/B62</f>
        <v>0</v>
      </c>
      <c r="M62" s="117"/>
    </row>
    <row r="63" spans="1:13" ht="16.5" customHeight="1" x14ac:dyDescent="0.25">
      <c r="A63" s="205"/>
      <c r="B63" s="20"/>
      <c r="C63" s="22"/>
      <c r="D63" s="196"/>
      <c r="E63" s="17"/>
      <c r="F63" s="176"/>
      <c r="H63" s="148"/>
    </row>
    <row r="64" spans="1:13" ht="16.5" customHeight="1" x14ac:dyDescent="0.25">
      <c r="A64" s="204" t="s">
        <v>105</v>
      </c>
      <c r="B64" s="20"/>
      <c r="C64" s="22"/>
      <c r="D64" s="196"/>
      <c r="E64" s="17"/>
      <c r="F64" s="176"/>
      <c r="H64" s="148"/>
    </row>
    <row r="65" spans="1:8" ht="16.5" customHeight="1" x14ac:dyDescent="0.25">
      <c r="A65" s="210" t="s">
        <v>24</v>
      </c>
      <c r="B65" s="16">
        <v>54500</v>
      </c>
      <c r="C65" s="66">
        <v>37702</v>
      </c>
      <c r="D65" s="55">
        <f>(C65/8)*12</f>
        <v>56553</v>
      </c>
      <c r="E65" s="6">
        <v>57000</v>
      </c>
      <c r="F65" s="176">
        <f t="shared" ref="F65:F89" si="5">(E65-B65)/B65</f>
        <v>4.5871559633027525E-2</v>
      </c>
      <c r="G65" s="58"/>
      <c r="H65" s="148"/>
    </row>
    <row r="66" spans="1:8" ht="16.5" customHeight="1" x14ac:dyDescent="0.25">
      <c r="A66" s="210" t="s">
        <v>25</v>
      </c>
      <c r="B66" s="16">
        <v>250</v>
      </c>
      <c r="C66" s="66">
        <v>282</v>
      </c>
      <c r="D66" s="55">
        <v>282</v>
      </c>
      <c r="E66" s="6">
        <v>290</v>
      </c>
      <c r="F66" s="176">
        <f t="shared" si="5"/>
        <v>0.16</v>
      </c>
      <c r="H66" s="148"/>
    </row>
    <row r="67" spans="1:8" ht="16.5" customHeight="1" x14ac:dyDescent="0.25">
      <c r="A67" s="210" t="s">
        <v>26</v>
      </c>
      <c r="B67" s="16">
        <v>4200</v>
      </c>
      <c r="C67" s="66">
        <v>2730</v>
      </c>
      <c r="D67" s="55">
        <f t="shared" ref="D67:D85" si="6">(C67/8)*12</f>
        <v>4095</v>
      </c>
      <c r="E67" s="6">
        <v>4200</v>
      </c>
      <c r="F67" s="176">
        <f t="shared" si="5"/>
        <v>0</v>
      </c>
      <c r="H67" s="148"/>
    </row>
    <row r="68" spans="1:8" ht="16.5" customHeight="1" x14ac:dyDescent="0.25">
      <c r="A68" s="210" t="s">
        <v>27</v>
      </c>
      <c r="B68" s="16">
        <v>600</v>
      </c>
      <c r="C68" s="66">
        <v>216</v>
      </c>
      <c r="D68" s="55">
        <f t="shared" si="6"/>
        <v>324</v>
      </c>
      <c r="E68" s="6">
        <v>450</v>
      </c>
      <c r="F68" s="176">
        <f t="shared" si="5"/>
        <v>-0.25</v>
      </c>
      <c r="H68" s="148"/>
    </row>
    <row r="69" spans="1:8" ht="16.5" customHeight="1" x14ac:dyDescent="0.25">
      <c r="A69" s="210" t="s">
        <v>28</v>
      </c>
      <c r="B69" s="16">
        <f>(1.5*691)*12</f>
        <v>12438</v>
      </c>
      <c r="C69" s="66">
        <f>(1.5*691)*8</f>
        <v>8292</v>
      </c>
      <c r="D69" s="55">
        <f t="shared" si="6"/>
        <v>12438</v>
      </c>
      <c r="E69" s="6">
        <f>(B69*1.03)</f>
        <v>12811.140000000001</v>
      </c>
      <c r="F69" s="176">
        <f t="shared" si="5"/>
        <v>3.00000000000001E-2</v>
      </c>
      <c r="H69" s="148"/>
    </row>
    <row r="70" spans="1:8" ht="16.5" customHeight="1" x14ac:dyDescent="0.25">
      <c r="A70" s="211" t="s">
        <v>54</v>
      </c>
      <c r="B70" s="16">
        <v>1500</v>
      </c>
      <c r="C70" s="66">
        <v>369</v>
      </c>
      <c r="D70" s="55">
        <f t="shared" si="6"/>
        <v>553.5</v>
      </c>
      <c r="E70" s="6">
        <v>1500</v>
      </c>
      <c r="F70" s="190">
        <f t="shared" si="5"/>
        <v>0</v>
      </c>
      <c r="H70" s="148"/>
    </row>
    <row r="71" spans="1:8" ht="16.5" customHeight="1" x14ac:dyDescent="0.25">
      <c r="A71" s="206" t="s">
        <v>30</v>
      </c>
      <c r="B71" s="16">
        <v>950</v>
      </c>
      <c r="C71" s="66">
        <v>636</v>
      </c>
      <c r="D71" s="55">
        <f t="shared" si="6"/>
        <v>954</v>
      </c>
      <c r="E71" s="6">
        <v>1000</v>
      </c>
      <c r="F71" s="176">
        <f t="shared" si="5"/>
        <v>5.2631578947368418E-2</v>
      </c>
      <c r="H71" s="148"/>
    </row>
    <row r="72" spans="1:8" ht="16.5" customHeight="1" x14ac:dyDescent="0.25">
      <c r="A72" s="206" t="s">
        <v>55</v>
      </c>
      <c r="B72" s="16">
        <v>1000</v>
      </c>
      <c r="C72" s="66">
        <v>289</v>
      </c>
      <c r="D72" s="55">
        <f t="shared" si="6"/>
        <v>433.5</v>
      </c>
      <c r="E72" s="6">
        <v>1000</v>
      </c>
      <c r="F72" s="176">
        <f t="shared" si="5"/>
        <v>0</v>
      </c>
      <c r="H72" s="148"/>
    </row>
    <row r="73" spans="1:8" ht="16.5" customHeight="1" x14ac:dyDescent="0.25">
      <c r="A73" s="206" t="s">
        <v>121</v>
      </c>
      <c r="B73" s="16">
        <v>4500</v>
      </c>
      <c r="C73" s="66">
        <v>375</v>
      </c>
      <c r="D73" s="55">
        <f t="shared" si="6"/>
        <v>562.5</v>
      </c>
      <c r="E73" s="6">
        <v>2000</v>
      </c>
      <c r="F73" s="176">
        <f t="shared" si="5"/>
        <v>-0.55555555555555558</v>
      </c>
    </row>
    <row r="74" spans="1:8" ht="16.5" customHeight="1" x14ac:dyDescent="0.25">
      <c r="A74" s="206" t="s">
        <v>59</v>
      </c>
      <c r="B74" s="16">
        <v>22000</v>
      </c>
      <c r="C74" s="66">
        <v>14035</v>
      </c>
      <c r="D74" s="55">
        <f t="shared" si="6"/>
        <v>21052.5</v>
      </c>
      <c r="E74" s="6">
        <v>22000</v>
      </c>
      <c r="F74" s="176">
        <f t="shared" si="5"/>
        <v>0</v>
      </c>
    </row>
    <row r="75" spans="1:8" ht="16.5" customHeight="1" x14ac:dyDescent="0.25">
      <c r="A75" s="206" t="s">
        <v>43</v>
      </c>
      <c r="B75" s="16">
        <v>0</v>
      </c>
      <c r="C75" s="66"/>
      <c r="D75" s="55">
        <f t="shared" si="6"/>
        <v>0</v>
      </c>
      <c r="E75" s="6">
        <v>2000</v>
      </c>
      <c r="F75" s="197" t="s">
        <v>200</v>
      </c>
    </row>
    <row r="76" spans="1:8" ht="16.5" customHeight="1" x14ac:dyDescent="0.25">
      <c r="A76" s="206" t="s">
        <v>63</v>
      </c>
      <c r="B76" s="16">
        <v>3500</v>
      </c>
      <c r="C76" s="66">
        <v>1446</v>
      </c>
      <c r="D76" s="55">
        <f t="shared" si="6"/>
        <v>2169</v>
      </c>
      <c r="E76" s="6">
        <v>3500</v>
      </c>
      <c r="F76" s="176">
        <f t="shared" si="5"/>
        <v>0</v>
      </c>
    </row>
    <row r="77" spans="1:8" ht="16.5" customHeight="1" x14ac:dyDescent="0.25">
      <c r="A77" s="206" t="s">
        <v>115</v>
      </c>
      <c r="B77" s="16">
        <v>3500</v>
      </c>
      <c r="C77" s="66">
        <v>1882</v>
      </c>
      <c r="D77" s="55">
        <f t="shared" si="6"/>
        <v>2823</v>
      </c>
      <c r="E77" s="6">
        <v>3000</v>
      </c>
      <c r="F77" s="176">
        <f t="shared" si="5"/>
        <v>-0.14285714285714285</v>
      </c>
    </row>
    <row r="78" spans="1:8" ht="16.5" customHeight="1" x14ac:dyDescent="0.25">
      <c r="A78" s="206" t="s">
        <v>116</v>
      </c>
      <c r="B78" s="16">
        <v>7000</v>
      </c>
      <c r="C78" s="66">
        <f>(538*8)</f>
        <v>4304</v>
      </c>
      <c r="D78" s="55">
        <f t="shared" si="6"/>
        <v>6456</v>
      </c>
      <c r="E78" s="6">
        <v>7000</v>
      </c>
      <c r="F78" s="176">
        <f t="shared" si="5"/>
        <v>0</v>
      </c>
    </row>
    <row r="79" spans="1:8" ht="16.5" customHeight="1" x14ac:dyDescent="0.25">
      <c r="A79" s="206" t="s">
        <v>46</v>
      </c>
      <c r="B79" s="16">
        <v>6000</v>
      </c>
      <c r="C79" s="66">
        <f>(15878-7000)</f>
        <v>8878</v>
      </c>
      <c r="D79" s="55">
        <f t="shared" si="6"/>
        <v>13317</v>
      </c>
      <c r="E79" s="6">
        <v>6000</v>
      </c>
      <c r="F79" s="176">
        <f t="shared" si="5"/>
        <v>0</v>
      </c>
    </row>
    <row r="80" spans="1:8" ht="16.5" customHeight="1" x14ac:dyDescent="0.25">
      <c r="A80" s="206" t="s">
        <v>70</v>
      </c>
      <c r="B80" s="16">
        <v>20000</v>
      </c>
      <c r="C80" s="66">
        <v>7886</v>
      </c>
      <c r="D80" s="55">
        <f t="shared" si="6"/>
        <v>11829</v>
      </c>
      <c r="E80" s="6">
        <v>10000</v>
      </c>
      <c r="F80" s="176">
        <f t="shared" si="5"/>
        <v>-0.5</v>
      </c>
    </row>
    <row r="81" spans="1:6" ht="16.5" customHeight="1" x14ac:dyDescent="0.25">
      <c r="A81" s="206" t="s">
        <v>48</v>
      </c>
      <c r="B81" s="16">
        <v>8000</v>
      </c>
      <c r="C81" s="66">
        <f>(3860+2789)</f>
        <v>6649</v>
      </c>
      <c r="D81" s="55">
        <v>8000</v>
      </c>
      <c r="E81" s="6">
        <v>8000</v>
      </c>
      <c r="F81" s="176">
        <f t="shared" si="5"/>
        <v>0</v>
      </c>
    </row>
    <row r="82" spans="1:6" ht="16.5" customHeight="1" x14ac:dyDescent="0.25">
      <c r="A82" s="206" t="s">
        <v>117</v>
      </c>
      <c r="B82" s="16">
        <v>5000</v>
      </c>
      <c r="C82" s="66">
        <v>5000</v>
      </c>
      <c r="D82" s="55">
        <v>5000</v>
      </c>
      <c r="E82" s="6">
        <v>5000</v>
      </c>
      <c r="F82" s="176">
        <f t="shared" si="5"/>
        <v>0</v>
      </c>
    </row>
    <row r="83" spans="1:6" ht="16.5" customHeight="1" x14ac:dyDescent="0.25">
      <c r="A83" s="206" t="s">
        <v>118</v>
      </c>
      <c r="B83" s="16">
        <v>3000</v>
      </c>
      <c r="C83" s="66">
        <v>3000</v>
      </c>
      <c r="D83" s="55">
        <v>3000</v>
      </c>
      <c r="E83" s="6">
        <v>3000</v>
      </c>
      <c r="F83" s="176">
        <f t="shared" si="5"/>
        <v>0</v>
      </c>
    </row>
    <row r="84" spans="1:6" ht="16.5" customHeight="1" x14ac:dyDescent="0.25">
      <c r="A84" s="206" t="s">
        <v>119</v>
      </c>
      <c r="B84" s="16">
        <v>95000</v>
      </c>
      <c r="C84" s="66">
        <v>19399</v>
      </c>
      <c r="D84" s="55">
        <v>44000</v>
      </c>
      <c r="E84" s="6">
        <v>81752</v>
      </c>
      <c r="F84" s="176">
        <f t="shared" si="5"/>
        <v>-0.13945263157894736</v>
      </c>
    </row>
    <row r="85" spans="1:6" s="153" customFormat="1" ht="16.5" customHeight="1" x14ac:dyDescent="0.25">
      <c r="A85" s="206" t="s">
        <v>192</v>
      </c>
      <c r="B85" s="16">
        <v>0</v>
      </c>
      <c r="C85" s="66">
        <v>0</v>
      </c>
      <c r="D85" s="55">
        <f t="shared" si="6"/>
        <v>0</v>
      </c>
      <c r="E85" s="6">
        <v>32497</v>
      </c>
      <c r="F85" s="197" t="s">
        <v>200</v>
      </c>
    </row>
    <row r="86" spans="1:6" ht="16.5" customHeight="1" x14ac:dyDescent="0.25">
      <c r="A86" s="206"/>
      <c r="B86" s="16"/>
      <c r="C86" s="66"/>
      <c r="D86" s="55"/>
      <c r="E86" s="6"/>
      <c r="F86" s="176"/>
    </row>
    <row r="87" spans="1:6" ht="16.5" customHeight="1" x14ac:dyDescent="0.4">
      <c r="A87" s="204" t="s">
        <v>52</v>
      </c>
      <c r="B87" s="52">
        <v>246062.66</v>
      </c>
      <c r="C87" s="65">
        <f>SUM(C65:C85)</f>
        <v>123370</v>
      </c>
      <c r="D87" s="98">
        <f>SUM(D65:D85)</f>
        <v>193842</v>
      </c>
      <c r="E87" s="53">
        <f>SUM(E65:E86)</f>
        <v>264000.14</v>
      </c>
      <c r="F87" s="176">
        <f t="shared" si="5"/>
        <v>7.2898017114827629E-2</v>
      </c>
    </row>
    <row r="88" spans="1:6" ht="16.5" customHeight="1" x14ac:dyDescent="0.25">
      <c r="A88" s="203"/>
      <c r="B88" s="20"/>
      <c r="C88" s="21"/>
      <c r="D88" s="23"/>
      <c r="E88" s="17"/>
      <c r="F88" s="176"/>
    </row>
    <row r="89" spans="1:6" ht="16.5" customHeight="1" x14ac:dyDescent="0.4">
      <c r="A89" s="30" t="s">
        <v>137</v>
      </c>
      <c r="B89" s="64">
        <f>(B60-B87)</f>
        <v>20437.339999999997</v>
      </c>
      <c r="C89" s="65">
        <f>(C60-C87)</f>
        <v>45987.44</v>
      </c>
      <c r="D89" s="98">
        <f>(D60-D87)</f>
        <v>60194.16</v>
      </c>
      <c r="E89" s="53">
        <f>(E60-E87)</f>
        <v>2499.859999999986</v>
      </c>
      <c r="F89" s="176">
        <f t="shared" si="5"/>
        <v>-0.87768173353283807</v>
      </c>
    </row>
    <row r="90" spans="1:6" ht="16.5" customHeight="1" x14ac:dyDescent="0.25">
      <c r="A90" s="212"/>
      <c r="B90" s="3"/>
      <c r="C90" s="3"/>
      <c r="D90" s="3"/>
      <c r="E90" s="3"/>
    </row>
    <row r="91" spans="1:6" ht="16.5" customHeight="1" x14ac:dyDescent="0.25">
      <c r="A91" s="212"/>
      <c r="B91" s="3"/>
      <c r="C91" s="3"/>
      <c r="D91" s="3"/>
      <c r="E91" s="3"/>
    </row>
    <row r="92" spans="1:6" ht="16.5" customHeight="1" x14ac:dyDescent="0.3">
      <c r="A92" s="27" t="s">
        <v>122</v>
      </c>
      <c r="B92" s="7"/>
      <c r="C92" s="7"/>
      <c r="D92" s="7"/>
      <c r="E92" s="7"/>
      <c r="F92" s="7"/>
    </row>
    <row r="93" spans="1:6" ht="16.5" customHeight="1" x14ac:dyDescent="0.25">
      <c r="A93" s="203"/>
      <c r="B93" s="7"/>
      <c r="C93" s="7"/>
      <c r="D93" s="7"/>
      <c r="E93" s="7"/>
      <c r="F93" s="7"/>
    </row>
    <row r="94" spans="1:6" ht="16.5" customHeight="1" x14ac:dyDescent="0.25">
      <c r="A94" s="205" t="s">
        <v>97</v>
      </c>
      <c r="B94" s="24"/>
      <c r="C94" s="22"/>
      <c r="D94" s="23"/>
      <c r="E94" s="17"/>
      <c r="F94" s="198"/>
    </row>
    <row r="95" spans="1:6" ht="16.5" customHeight="1" x14ac:dyDescent="0.25">
      <c r="A95" s="205"/>
      <c r="B95" s="24"/>
      <c r="C95" s="22"/>
      <c r="D95" s="23"/>
      <c r="E95" s="17"/>
      <c r="F95" s="198"/>
    </row>
    <row r="96" spans="1:6" ht="16.5" customHeight="1" x14ac:dyDescent="0.25">
      <c r="A96" s="206" t="s">
        <v>123</v>
      </c>
      <c r="B96" s="16">
        <v>667890</v>
      </c>
      <c r="C96" s="66">
        <f>(443062*0.96)</f>
        <v>425339.51999999996</v>
      </c>
      <c r="D96" s="55">
        <f>(C96/8)*12</f>
        <v>638009.27999999991</v>
      </c>
      <c r="E96" s="6">
        <v>654000</v>
      </c>
      <c r="F96" s="176">
        <f>(E96-B96)/B96</f>
        <v>-2.0796837802632171E-2</v>
      </c>
    </row>
    <row r="97" spans="1:6" s="153" customFormat="1" ht="16.5" customHeight="1" x14ac:dyDescent="0.25">
      <c r="A97" s="206"/>
      <c r="B97" s="16"/>
      <c r="C97" s="66"/>
      <c r="D97" s="55"/>
      <c r="E97" s="6"/>
      <c r="F97" s="176"/>
    </row>
    <row r="98" spans="1:6" s="153" customFormat="1" ht="16.5" customHeight="1" x14ac:dyDescent="0.25">
      <c r="A98" s="204" t="s">
        <v>215</v>
      </c>
      <c r="B98" s="16">
        <f>B96</f>
        <v>667890</v>
      </c>
      <c r="C98" s="54">
        <f>C96</f>
        <v>425339.51999999996</v>
      </c>
      <c r="D98" s="55">
        <f>D96</f>
        <v>638009.27999999991</v>
      </c>
      <c r="E98" s="6">
        <f>E96</f>
        <v>654000</v>
      </c>
      <c r="F98" s="176">
        <f t="shared" ref="F98" si="7">(E98-B98)/B98</f>
        <v>-2.0796837802632171E-2</v>
      </c>
    </row>
    <row r="99" spans="1:6" ht="16.5" customHeight="1" x14ac:dyDescent="0.25">
      <c r="A99" s="205"/>
      <c r="B99" s="24"/>
      <c r="C99" s="25"/>
      <c r="D99" s="23"/>
      <c r="E99" s="4"/>
      <c r="F99" s="176"/>
    </row>
    <row r="100" spans="1:6" ht="16.5" customHeight="1" x14ac:dyDescent="0.25">
      <c r="A100" s="205" t="s">
        <v>105</v>
      </c>
      <c r="B100" s="24"/>
      <c r="C100" s="25"/>
      <c r="D100" s="23"/>
      <c r="E100" s="4"/>
      <c r="F100" s="176"/>
    </row>
    <row r="101" spans="1:6" ht="16.5" customHeight="1" x14ac:dyDescent="0.25">
      <c r="A101" s="206" t="s">
        <v>124</v>
      </c>
      <c r="B101" s="16">
        <v>545000</v>
      </c>
      <c r="C101" s="66">
        <v>364138</v>
      </c>
      <c r="D101" s="55">
        <f>(C101/8)*12</f>
        <v>546207</v>
      </c>
      <c r="E101" s="6">
        <v>545000</v>
      </c>
      <c r="F101" s="176">
        <f t="shared" ref="F101:F106" si="8">(E101-B101)/B101</f>
        <v>0</v>
      </c>
    </row>
    <row r="102" spans="1:6" ht="16.5" customHeight="1" x14ac:dyDescent="0.25">
      <c r="A102" s="206" t="s">
        <v>126</v>
      </c>
      <c r="B102" s="16">
        <v>122790</v>
      </c>
      <c r="C102" s="66">
        <v>61202</v>
      </c>
      <c r="D102" s="55">
        <v>91802</v>
      </c>
      <c r="E102" s="6">
        <v>95000</v>
      </c>
      <c r="F102" s="176">
        <f t="shared" si="8"/>
        <v>-0.22632136167440345</v>
      </c>
    </row>
    <row r="103" spans="1:6" ht="16.5" customHeight="1" x14ac:dyDescent="0.25">
      <c r="A103" s="206"/>
      <c r="B103" s="24"/>
      <c r="C103" s="25"/>
      <c r="D103" s="23"/>
      <c r="E103" s="4"/>
      <c r="F103" s="176"/>
    </row>
    <row r="104" spans="1:6" ht="16.5" customHeight="1" x14ac:dyDescent="0.25">
      <c r="A104" s="204" t="s">
        <v>52</v>
      </c>
      <c r="B104" s="16">
        <v>652412.66</v>
      </c>
      <c r="C104" s="66">
        <f>SUM(C101:C102)</f>
        <v>425340</v>
      </c>
      <c r="D104" s="55">
        <f>SUM(D101:D102)</f>
        <v>638009</v>
      </c>
      <c r="E104" s="6">
        <f>SUM(E101:E102)</f>
        <v>640000</v>
      </c>
      <c r="F104" s="176">
        <f t="shared" si="8"/>
        <v>-1.9025780401011886E-2</v>
      </c>
    </row>
    <row r="105" spans="1:6" ht="16.5" customHeight="1" x14ac:dyDescent="0.25">
      <c r="A105" s="203"/>
      <c r="B105" s="50"/>
      <c r="C105" s="54"/>
      <c r="D105" s="14"/>
      <c r="E105" s="4"/>
      <c r="F105" s="176"/>
    </row>
    <row r="106" spans="1:6" ht="16.5" customHeight="1" x14ac:dyDescent="0.4">
      <c r="A106" s="30" t="s">
        <v>138</v>
      </c>
      <c r="B106" s="52">
        <v>4587.3399999999674</v>
      </c>
      <c r="C106" s="56">
        <f>(C96-C104)</f>
        <v>-0.48000000003958121</v>
      </c>
      <c r="D106" s="98">
        <f>(D96-D104)</f>
        <v>0.27999999991152436</v>
      </c>
      <c r="E106" s="53">
        <f>(E96-E104)</f>
        <v>14000</v>
      </c>
      <c r="F106" s="176">
        <f t="shared" si="8"/>
        <v>2.0518775586723677</v>
      </c>
    </row>
    <row r="107" spans="1:6" ht="16.5" customHeight="1" x14ac:dyDescent="0.25">
      <c r="A107" s="213"/>
      <c r="B107" s="3"/>
      <c r="C107" s="3"/>
      <c r="D107" s="3"/>
      <c r="E107" s="3"/>
    </row>
    <row r="108" spans="1:6" ht="16.5" customHeight="1" x14ac:dyDescent="0.25">
      <c r="A108" s="213"/>
    </row>
    <row r="109" spans="1:6" ht="16.5" customHeight="1" x14ac:dyDescent="0.25">
      <c r="A109" s="213"/>
    </row>
    <row r="110" spans="1:6" ht="16.5" customHeight="1" x14ac:dyDescent="0.25">
      <c r="A110" s="213"/>
    </row>
    <row r="111" spans="1:6" ht="16.5" customHeight="1" x14ac:dyDescent="0.25">
      <c r="A111" s="214" t="s">
        <v>217</v>
      </c>
      <c r="B111" s="7"/>
      <c r="C111" s="7"/>
      <c r="D111" s="7"/>
      <c r="E111" s="7"/>
      <c r="F111" s="7"/>
    </row>
    <row r="112" spans="1:6" ht="16.5" customHeight="1" x14ac:dyDescent="0.25">
      <c r="A112" s="215"/>
      <c r="B112" s="7"/>
      <c r="C112" s="7"/>
      <c r="D112" s="7"/>
      <c r="E112" s="7"/>
      <c r="F112" s="7"/>
    </row>
    <row r="113" spans="1:15" ht="16.5" customHeight="1" x14ac:dyDescent="0.4">
      <c r="A113" s="214" t="s">
        <v>89</v>
      </c>
      <c r="B113" s="52">
        <f>(B96+B60+B14)</f>
        <v>1387590</v>
      </c>
      <c r="C113" s="65">
        <f>(C96+C60+C14)</f>
        <v>875512.96</v>
      </c>
      <c r="D113" s="98">
        <f>(D96+D60+D14)</f>
        <v>1328776.44</v>
      </c>
      <c r="E113" s="53">
        <f>(E96+E60+E14)</f>
        <v>1365500</v>
      </c>
      <c r="F113" s="176">
        <f>(E113-B113)/B113</f>
        <v>-1.5919688092303923E-2</v>
      </c>
    </row>
    <row r="114" spans="1:15" ht="16.5" customHeight="1" x14ac:dyDescent="0.25">
      <c r="A114" s="153"/>
      <c r="B114" s="7"/>
      <c r="C114" s="7"/>
      <c r="D114" s="7"/>
      <c r="E114" s="7"/>
      <c r="F114" s="7"/>
    </row>
    <row r="115" spans="1:15" ht="16.5" customHeight="1" x14ac:dyDescent="0.25">
      <c r="A115" s="153"/>
      <c r="B115" s="7"/>
      <c r="C115" s="7"/>
      <c r="D115" s="7"/>
      <c r="E115" s="7"/>
      <c r="F115" s="7"/>
    </row>
    <row r="116" spans="1:15" ht="16.5" customHeight="1" x14ac:dyDescent="0.25">
      <c r="A116" s="214" t="s">
        <v>90</v>
      </c>
      <c r="B116" s="7"/>
      <c r="C116" s="7"/>
      <c r="D116" s="7"/>
      <c r="E116" s="7"/>
      <c r="F116" s="7"/>
    </row>
    <row r="117" spans="1:15" ht="16.5" customHeight="1" x14ac:dyDescent="0.25">
      <c r="A117" s="215"/>
      <c r="B117" s="7"/>
      <c r="C117" s="7"/>
      <c r="D117" s="7"/>
      <c r="E117" s="7"/>
      <c r="F117" s="7"/>
      <c r="H117" s="58"/>
    </row>
    <row r="118" spans="1:15" ht="16.5" customHeight="1" x14ac:dyDescent="0.25">
      <c r="A118" s="216" t="s">
        <v>209</v>
      </c>
      <c r="B118" s="16">
        <f>(B51)</f>
        <v>443830</v>
      </c>
      <c r="C118" s="66">
        <f>(C51)</f>
        <v>217915.02</v>
      </c>
      <c r="D118" s="55">
        <f>(D51)</f>
        <v>299369.03000000003</v>
      </c>
      <c r="E118" s="6">
        <f>(E51)</f>
        <v>411517.9</v>
      </c>
      <c r="F118" s="176">
        <f t="shared" ref="F118:F129" si="9">(E118-B118)/B118</f>
        <v>-7.2802874974652404E-2</v>
      </c>
    </row>
    <row r="119" spans="1:15" ht="16.5" customHeight="1" x14ac:dyDescent="0.25">
      <c r="A119" s="216" t="s">
        <v>210</v>
      </c>
      <c r="B119" s="16">
        <f>(B87)</f>
        <v>246062.66</v>
      </c>
      <c r="C119" s="66">
        <f>(C87)</f>
        <v>123370</v>
      </c>
      <c r="D119" s="55">
        <f>(D87)</f>
        <v>193842</v>
      </c>
      <c r="E119" s="6">
        <f>(E87)</f>
        <v>264000.14</v>
      </c>
      <c r="F119" s="176">
        <f t="shared" si="9"/>
        <v>7.2898017114827629E-2</v>
      </c>
    </row>
    <row r="120" spans="1:15" ht="16.5" customHeight="1" x14ac:dyDescent="0.25">
      <c r="A120" s="216" t="s">
        <v>122</v>
      </c>
      <c r="B120" s="16">
        <f>(B104)</f>
        <v>652412.66</v>
      </c>
      <c r="C120" s="66">
        <f>(C104)</f>
        <v>425340</v>
      </c>
      <c r="D120" s="55">
        <f>(D104)</f>
        <v>638009</v>
      </c>
      <c r="E120" s="6">
        <f>(E104)</f>
        <v>640000</v>
      </c>
      <c r="F120" s="176">
        <f t="shared" si="9"/>
        <v>-1.9025780401011886E-2</v>
      </c>
    </row>
    <row r="121" spans="1:15" ht="16.5" customHeight="1" x14ac:dyDescent="0.25">
      <c r="A121" s="215"/>
      <c r="B121" s="7"/>
      <c r="C121" s="7"/>
      <c r="D121" s="7"/>
      <c r="E121" s="7"/>
      <c r="F121" s="7"/>
    </row>
    <row r="122" spans="1:15" ht="16.5" customHeight="1" x14ac:dyDescent="0.25">
      <c r="A122" s="215"/>
      <c r="B122" s="7"/>
      <c r="C122" s="7"/>
      <c r="D122" s="7"/>
      <c r="E122" s="7"/>
      <c r="F122" s="7"/>
    </row>
    <row r="123" spans="1:15" ht="16.5" customHeight="1" x14ac:dyDescent="0.4">
      <c r="A123" s="217" t="s">
        <v>143</v>
      </c>
      <c r="B123" s="152">
        <f>SUM(B118:B120)</f>
        <v>1342305.32</v>
      </c>
      <c r="C123" s="65">
        <f>SUM(C118:C120)</f>
        <v>766625.02</v>
      </c>
      <c r="D123" s="98">
        <f>SUM(D118:D120)</f>
        <v>1131220.03</v>
      </c>
      <c r="E123" s="53">
        <f>SUM(E118:E120)</f>
        <v>1315518.04</v>
      </c>
      <c r="F123" s="176">
        <f t="shared" si="9"/>
        <v>-1.9956175097331826E-2</v>
      </c>
    </row>
    <row r="124" spans="1:15" s="123" customFormat="1" ht="16.5" customHeight="1" x14ac:dyDescent="0.25">
      <c r="A124" s="218"/>
      <c r="B124" s="7"/>
      <c r="C124" s="7"/>
      <c r="D124" s="7"/>
      <c r="E124" s="7"/>
      <c r="F124" s="7"/>
      <c r="N124" s="58"/>
      <c r="O124" s="122"/>
    </row>
    <row r="125" spans="1:15" s="123" customFormat="1" ht="16.5" customHeight="1" x14ac:dyDescent="0.4">
      <c r="A125" s="219" t="s">
        <v>216</v>
      </c>
      <c r="B125" s="52">
        <f>(B113-B123)</f>
        <v>45284.679999999935</v>
      </c>
      <c r="C125" s="56">
        <f>(C113-C123)</f>
        <v>108887.93999999994</v>
      </c>
      <c r="D125" s="98">
        <f>(D113-D123)</f>
        <v>197556.40999999992</v>
      </c>
      <c r="E125" s="53">
        <f>(E113-E123)</f>
        <v>49981.959999999963</v>
      </c>
      <c r="F125" s="176">
        <f t="shared" si="9"/>
        <v>0.10372779491872383</v>
      </c>
      <c r="N125" s="58"/>
      <c r="O125" s="117"/>
    </row>
    <row r="126" spans="1:15" s="153" customFormat="1" ht="16.5" customHeight="1" x14ac:dyDescent="0.25">
      <c r="A126" s="219"/>
      <c r="B126" s="7"/>
      <c r="C126" s="7"/>
      <c r="D126" s="7"/>
      <c r="E126" s="7"/>
      <c r="F126" s="7"/>
      <c r="N126" s="58"/>
      <c r="O126" s="117"/>
    </row>
    <row r="127" spans="1:15" s="153" customFormat="1" ht="16.5" customHeight="1" x14ac:dyDescent="0.4">
      <c r="A127" s="219" t="s">
        <v>277</v>
      </c>
      <c r="B127" s="52">
        <v>0</v>
      </c>
      <c r="C127" s="99">
        <v>0</v>
      </c>
      <c r="D127" s="98">
        <v>0</v>
      </c>
      <c r="E127" s="53">
        <v>24788</v>
      </c>
      <c r="F127" s="176"/>
      <c r="N127" s="58"/>
      <c r="O127" s="117"/>
    </row>
    <row r="128" spans="1:15" ht="16.5" customHeight="1" x14ac:dyDescent="0.25">
      <c r="A128" s="218"/>
      <c r="B128" s="7"/>
      <c r="C128" s="7"/>
      <c r="D128" s="7"/>
      <c r="E128" s="7"/>
      <c r="F128" s="7"/>
      <c r="N128" s="58"/>
      <c r="O128" s="122"/>
    </row>
    <row r="129" spans="1:15" ht="16.5" customHeight="1" x14ac:dyDescent="0.4">
      <c r="A129" s="220" t="s">
        <v>151</v>
      </c>
      <c r="B129" s="83">
        <f>(B113-B123)</f>
        <v>45284.679999999935</v>
      </c>
      <c r="C129" s="72">
        <f>(C113-C123)</f>
        <v>108887.93999999994</v>
      </c>
      <c r="D129" s="85">
        <v>245890</v>
      </c>
      <c r="E129" s="73">
        <v>275898</v>
      </c>
      <c r="F129" s="176">
        <f t="shared" si="9"/>
        <v>5.0925240059110584</v>
      </c>
      <c r="N129" s="58"/>
      <c r="O129" s="122"/>
    </row>
    <row r="130" spans="1:15" ht="16.5" customHeight="1" x14ac:dyDescent="0.25">
      <c r="A130" s="149"/>
      <c r="B130" s="149"/>
      <c r="C130" s="149"/>
      <c r="D130" s="149"/>
    </row>
    <row r="131" spans="1:15" ht="20.25" customHeight="1" thickBot="1" x14ac:dyDescent="0.35">
      <c r="A131" s="185" t="s">
        <v>241</v>
      </c>
      <c r="B131" s="186" t="s">
        <v>179</v>
      </c>
      <c r="C131" s="149"/>
      <c r="D131" s="149"/>
      <c r="E131" s="58"/>
    </row>
    <row r="132" spans="1:15" ht="24" customHeight="1" thickTop="1" thickBot="1" x14ac:dyDescent="0.35">
      <c r="A132" s="165" t="s">
        <v>203</v>
      </c>
      <c r="B132" s="166">
        <f>(E84+E47+E102)</f>
        <v>278504</v>
      </c>
      <c r="C132" s="149"/>
      <c r="D132" s="149"/>
      <c r="E132" s="58"/>
    </row>
    <row r="133" spans="1:15" ht="16.5" customHeight="1" thickTop="1" x14ac:dyDescent="0.25">
      <c r="A133" s="149"/>
      <c r="B133" s="149"/>
    </row>
    <row r="134" spans="1:15" ht="22.5" customHeight="1" thickBot="1" x14ac:dyDescent="0.35">
      <c r="A134" s="167" t="s">
        <v>239</v>
      </c>
      <c r="B134" s="168">
        <f>(D102+D84+D47)</f>
        <v>164900.5</v>
      </c>
    </row>
    <row r="135" spans="1:15" ht="29.25" customHeight="1" thickTop="1" thickBot="1" x14ac:dyDescent="0.35">
      <c r="A135" s="167" t="s">
        <v>242</v>
      </c>
      <c r="B135" s="168">
        <f>(B134-Enterprise.Proprietary!D9)</f>
        <v>163775.5</v>
      </c>
      <c r="F135" s="80"/>
    </row>
    <row r="136" spans="1:15" ht="16.5" customHeight="1" thickTop="1" x14ac:dyDescent="0.25">
      <c r="F136" s="77"/>
    </row>
    <row r="137" spans="1:15" ht="16.5" customHeight="1" x14ac:dyDescent="0.3">
      <c r="A137" s="183" t="s">
        <v>211</v>
      </c>
      <c r="B137" s="184">
        <f>(E85+E48)</f>
        <v>57011</v>
      </c>
    </row>
    <row r="138" spans="1:15" ht="16.5" customHeight="1" x14ac:dyDescent="0.3">
      <c r="A138" s="183" t="s">
        <v>240</v>
      </c>
      <c r="B138" s="184">
        <f>('General Fund'!E10-Enterprise.Proprietary!B132)</f>
        <v>1</v>
      </c>
      <c r="F138" s="80"/>
    </row>
    <row r="140" spans="1:15" ht="16.5" customHeight="1" x14ac:dyDescent="0.25">
      <c r="F140" s="80"/>
    </row>
  </sheetData>
  <mergeCells count="1">
    <mergeCell ref="A1:F2"/>
  </mergeCells>
  <pageMargins left="0.7" right="0.7" top="0.75" bottom="0.75" header="0.3" footer="0.3"/>
  <pageSetup orientation="landscape" r:id="rId1"/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General Fund</vt:lpstr>
      <vt:lpstr>Court Other Detailed</vt:lpstr>
      <vt:lpstr>Debt Service</vt:lpstr>
      <vt:lpstr>CIP Fund</vt:lpstr>
      <vt:lpstr>Tourism Fund</vt:lpstr>
      <vt:lpstr>Special Revenue and Grant Fund</vt:lpstr>
      <vt:lpstr>EDC Sale Tax Fund</vt:lpstr>
      <vt:lpstr>ARP</vt:lpstr>
      <vt:lpstr>Enterprise.Proprietary</vt:lpstr>
      <vt:lpstr>'CIP Fund'!Print_Area</vt:lpstr>
      <vt:lpstr>Enterprise.Proprietary!Print_Area</vt:lpstr>
      <vt:lpstr>'General Fund'!Print_Area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Barth</dc:creator>
  <cp:lastModifiedBy>John Barth</cp:lastModifiedBy>
  <cp:lastPrinted>2021-07-15T15:19:46Z</cp:lastPrinted>
  <dcterms:created xsi:type="dcterms:W3CDTF">2018-05-17T14:39:05Z</dcterms:created>
  <dcterms:modified xsi:type="dcterms:W3CDTF">2021-08-18T16:12:52Z</dcterms:modified>
</cp:coreProperties>
</file>